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15" tabRatio="810" activeTab="2"/>
  </bookViews>
  <sheets>
    <sheet name="表紙" sheetId="1" r:id="rId1"/>
    <sheet name="使用材一覧" sheetId="2" r:id="rId2"/>
    <sheet name="足場板" sheetId="3" r:id="rId3"/>
    <sheet name="ころばし" sheetId="4" r:id="rId4"/>
    <sheet name="おやご" sheetId="5" r:id="rId5"/>
    <sheet name="チェーン" sheetId="6" r:id="rId6"/>
    <sheet name="基準風速決定表" sheetId="7" r:id="rId7"/>
    <sheet name="朝顔" sheetId="8" r:id="rId8"/>
    <sheet name="朝顔チェーン" sheetId="9" r:id="rId9"/>
    <sheet name="布" sheetId="10" r:id="rId10"/>
    <sheet name="建地" sheetId="11" r:id="rId11"/>
    <sheet name="やらず" sheetId="12" r:id="rId12"/>
    <sheet name="吊り用チン" sheetId="13" r:id="rId13"/>
  </sheets>
  <externalReferences>
    <externalReference r:id="rId16"/>
  </externalReferences>
  <definedNames>
    <definedName name="Ｐ．８_２" localSheetId="6">'[1]施工管理計画'!#REF!</definedName>
    <definedName name="Ｐ．８_２">#REF!</definedName>
    <definedName name="_xlnm.Print_Area" localSheetId="3">'ころばし'!$A$2:$AA$37</definedName>
    <definedName name="_xlnm.Print_Area" localSheetId="5">'チェーン'!$A$2:$AD$45</definedName>
    <definedName name="_xlnm.Print_Area" localSheetId="11">'やらず'!$A$2:$AA$95</definedName>
    <definedName name="_xlnm.Print_Area" localSheetId="6">'基準風速決定表'!$A$1:$J$70</definedName>
    <definedName name="_xlnm.Print_Area" localSheetId="10">'建地'!$A$1:$AA$37</definedName>
    <definedName name="_xlnm.Print_Area" localSheetId="1">'使用材一覧'!$A$2:$AA$79</definedName>
    <definedName name="_xlnm.Print_Area" localSheetId="2">'足場板'!$A$2:$AC$80</definedName>
    <definedName name="_xlnm.Print_Area" localSheetId="7">'朝顔'!$A$2:$AA$106</definedName>
    <definedName name="_xlnm.Print_Area" localSheetId="8">'朝顔チェーン'!$A$2:$AA$97</definedName>
    <definedName name="_xlnm.Print_Area" localSheetId="12">'吊り用チン'!$B$2:$Y$33</definedName>
    <definedName name="_xlnm.Print_Area" localSheetId="0">'表紙'!$B$2:$Z$62</definedName>
    <definedName name="_xlnm.Print_Area" localSheetId="9">'布'!$A$1:$AA$34</definedName>
  </definedNames>
  <calcPr fullCalcOnLoad="1" fullPrecision="0" iterate="1" iterateCount="100" iterateDelta="0.001"/>
</workbook>
</file>

<file path=xl/comments8.xml><?xml version="1.0" encoding="utf-8"?>
<comments xmlns="http://schemas.openxmlformats.org/spreadsheetml/2006/main">
  <authors>
    <author>濱野一彦</author>
  </authors>
  <commentList>
    <comment ref="I90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「ころばし」と「はなどめ」および「やらず」と「おやご」のクランプ</t>
        </r>
      </text>
    </comment>
    <comment ref="I103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「手摺り」と「建地」のクランプ</t>
        </r>
      </text>
    </comment>
    <comment ref="K103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「やらず」と「布」のクランプ</t>
        </r>
      </text>
    </comment>
    <comment ref="M103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「建地」と「ころばし」および「建地」と「はなどめ」のクランプ</t>
        </r>
      </text>
    </comment>
  </commentList>
</comments>
</file>

<file path=xl/sharedStrings.xml><?xml version="1.0" encoding="utf-8"?>
<sst xmlns="http://schemas.openxmlformats.org/spreadsheetml/2006/main" count="1265" uniqueCount="751">
  <si>
    <t>T</t>
  </si>
  <si>
    <t>1.3Ｔａ ＝</t>
  </si>
  <si>
    <t>受圧範囲</t>
  </si>
  <si>
    <t>やらず間隔</t>
  </si>
  <si>
    <t>やらず間隔　（</t>
  </si>
  <si>
    <t>）を支間長とする単純梁として計算する。</t>
  </si>
  <si>
    <t>×</t>
  </si>
  <si>
    <t>=</t>
  </si>
  <si>
    <t>N/m</t>
  </si>
  <si>
    <t>M</t>
  </si>
  <si>
    <r>
      <t>w ･ L</t>
    </r>
    <r>
      <rPr>
        <vertAlign val="superscript"/>
        <sz val="11"/>
        <rFont val="ＭＳ Ｐ明朝"/>
        <family val="1"/>
      </rPr>
      <t>2</t>
    </r>
  </si>
  <si>
    <t>２</t>
  </si>
  <si>
    <t>N・m</t>
  </si>
  <si>
    <t>σ</t>
  </si>
  <si>
    <r>
      <t>N/m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</si>
  <si>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1.3σa＝</t>
  </si>
  <si>
    <t>Z</t>
  </si>
  <si>
    <t>N/mm2</t>
  </si>
  <si>
    <t>分布荷重</t>
  </si>
  <si>
    <t>＝</t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</si>
  <si>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</si>
  <si>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Ｈ</t>
  </si>
  <si>
    <t>L</t>
  </si>
  <si>
    <t>c</t>
  </si>
  <si>
    <t>N = H × L/c</t>
  </si>
  <si>
    <t>やらずに作用する水平力</t>
  </si>
  <si>
    <t>H</t>
  </si>
  <si>
    <t>=</t>
  </si>
  <si>
    <r>
      <t>w</t>
    </r>
    <r>
      <rPr>
        <vertAlign val="subscript"/>
        <sz val="11"/>
        <rFont val="ＭＳ Ｐ明朝"/>
        <family val="1"/>
      </rPr>
      <t xml:space="preserve">1  </t>
    </r>
    <r>
      <rPr>
        <sz val="11"/>
        <rFont val="ＭＳ Ｐ明朝"/>
        <family val="1"/>
      </rPr>
      <t>･  h</t>
    </r>
    <r>
      <rPr>
        <vertAlign val="subscript"/>
        <sz val="11"/>
        <rFont val="ＭＳ Ｐ明朝"/>
        <family val="1"/>
      </rPr>
      <t>1</t>
    </r>
    <r>
      <rPr>
        <vertAlign val="superscript"/>
        <sz val="11"/>
        <rFont val="ＭＳ Ｐ明朝"/>
        <family val="1"/>
      </rPr>
      <t xml:space="preserve">2   </t>
    </r>
    <r>
      <rPr>
        <sz val="11"/>
        <rFont val="ＭＳ Ｐ明朝"/>
        <family val="1"/>
      </rPr>
      <t>+   2 w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 xml:space="preserve">2   </t>
    </r>
    <r>
      <rPr>
        <sz val="11"/>
        <rFont val="ＭＳ Ｐ明朝"/>
        <family val="1"/>
      </rPr>
      <t>+   w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>2</t>
    </r>
    <r>
      <rPr>
        <vertAlign val="superscript"/>
        <sz val="11"/>
        <rFont val="ＭＳ Ｐ明朝"/>
        <family val="1"/>
      </rPr>
      <t>2</t>
    </r>
  </si>
  <si>
    <t>2 ・a</t>
  </si>
  <si>
    <t>×</t>
  </si>
  <si>
    <t>＋</t>
  </si>
  <si>
    <t>N</t>
  </si>
  <si>
    <t>やらず軸力</t>
  </si>
  <si>
    <t>N</t>
  </si>
  <si>
    <t>=</t>
  </si>
  <si>
    <t>×</t>
  </si>
  <si>
    <t>＝</t>
  </si>
  <si>
    <t>クランプ照査</t>
  </si>
  <si>
    <t>種類：</t>
  </si>
  <si>
    <t>1.3 Pa =</t>
  </si>
  <si>
    <t>降伏応力</t>
  </si>
  <si>
    <t>限界細長比</t>
  </si>
  <si>
    <t>Ｆ</t>
  </si>
  <si>
    <t>Λ</t>
  </si>
  <si>
    <t>圧縮応力度照査</t>
  </si>
  <si>
    <t>φ48.6×2.4(STK500)</t>
  </si>
  <si>
    <t>λ</t>
  </si>
  <si>
    <t>L</t>
  </si>
  <si>
    <t>Λ＝</t>
  </si>
  <si>
    <t>□60×2.3(STKR400)</t>
  </si>
  <si>
    <t>r</t>
  </si>
  <si>
    <t>□75×3.2(STKR400)</t>
  </si>
  <si>
    <t>□100×3.2(STKR400)</t>
  </si>
  <si>
    <t>λ≦Λの場合</t>
  </si>
  <si>
    <t>□60×2.3(STKR490)</t>
  </si>
  <si>
    <t>σca =</t>
  </si>
  <si>
    <r>
      <t>1 - 0.4(λ/Λ)</t>
    </r>
    <r>
      <rPr>
        <vertAlign val="superscript"/>
        <sz val="11"/>
        <rFont val="ＭＳ Ｐ明朝"/>
        <family val="1"/>
      </rPr>
      <t>2</t>
    </r>
  </si>
  <si>
    <t xml:space="preserve"> × F</t>
  </si>
  <si>
    <r>
      <t>N/mm</t>
    </r>
    <r>
      <rPr>
        <vertAlign val="superscript"/>
        <sz val="11"/>
        <rFont val="ＭＳ Ｐ明朝"/>
        <family val="1"/>
      </rPr>
      <t>2</t>
    </r>
  </si>
  <si>
    <t>□75×3.2(STKR490)</t>
  </si>
  <si>
    <r>
      <t>1.5 + 0.57(λ/Λ)</t>
    </r>
    <r>
      <rPr>
        <vertAlign val="superscript"/>
        <sz val="11"/>
        <rFont val="ＭＳ Ｐ明朝"/>
        <family val="1"/>
      </rPr>
      <t>2</t>
    </r>
  </si>
  <si>
    <t>λ&gt;Λの場合</t>
  </si>
  <si>
    <r>
      <t>(λ/Λ)</t>
    </r>
    <r>
      <rPr>
        <vertAlign val="superscript"/>
        <sz val="11"/>
        <rFont val="ＭＳ Ｐ明朝"/>
        <family val="1"/>
      </rPr>
      <t>2</t>
    </r>
  </si>
  <si>
    <t>σc</t>
  </si>
  <si>
    <t>N</t>
  </si>
  <si>
    <t>1.3σca =</t>
  </si>
  <si>
    <t>A</t>
  </si>
  <si>
    <t>＝</t>
  </si>
  <si>
    <t>×</t>
  </si>
  <si>
    <t>φ</t>
  </si>
  <si>
    <t>L</t>
  </si>
  <si>
    <t>破断強度</t>
  </si>
  <si>
    <t>安全率</t>
  </si>
  <si>
    <t>許容耐力</t>
  </si>
  <si>
    <t>等分布荷重</t>
  </si>
  <si>
    <t>集中荷重</t>
  </si>
  <si>
    <t>Ｐ</t>
  </si>
  <si>
    <t>Ｌ＝</t>
  </si>
  <si>
    <t>＋</t>
  </si>
  <si>
    <t>Ｍ</t>
  </si>
  <si>
    <t>Ｚ</t>
  </si>
  <si>
    <t>たわみ</t>
  </si>
  <si>
    <t>足場板自重</t>
  </si>
  <si>
    <t>足場板</t>
  </si>
  <si>
    <t>ころばし</t>
  </si>
  <si>
    <t>足場チェーンピッチ（おやご支間）</t>
  </si>
  <si>
    <t>おやご間隔</t>
  </si>
  <si>
    <t>で計算する。</t>
  </si>
  <si>
    <t>おやご</t>
  </si>
  <si>
    <t>足場チェーン１本に作用する荷重</t>
  </si>
  <si>
    <t>載荷荷重</t>
  </si>
  <si>
    <t>作業員</t>
  </si>
  <si>
    <t>合計</t>
  </si>
  <si>
    <t>足場チェーン張力</t>
  </si>
  <si>
    <t>N</t>
  </si>
  <si>
    <t>mm</t>
  </si>
  <si>
    <t>w</t>
  </si>
  <si>
    <t>足場板</t>
  </si>
  <si>
    <t>ころばし</t>
  </si>
  <si>
    <t>足場板種類</t>
  </si>
  <si>
    <t>合板足場板</t>
  </si>
  <si>
    <t>杉材足場板</t>
  </si>
  <si>
    <t>松材足場板</t>
  </si>
  <si>
    <t>鋼製足場板</t>
  </si>
  <si>
    <t>アルミ足場板</t>
  </si>
  <si>
    <t>（厚さ×幅×長さ）</t>
  </si>
  <si>
    <t>寸法</t>
  </si>
  <si>
    <t>質量</t>
  </si>
  <si>
    <t>単位重量</t>
  </si>
  <si>
    <t>断面係数</t>
  </si>
  <si>
    <t>（注２</t>
  </si>
  <si>
    <t>（注４</t>
  </si>
  <si>
    <t>（注１</t>
  </si>
  <si>
    <t>（注３</t>
  </si>
  <si>
    <t>断面２次ﾓｰﾒﾝﾄ</t>
  </si>
  <si>
    <t>ヤング係数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</si>
  <si>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</si>
  <si>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</si>
  <si>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</si>
  <si>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</si>
  <si>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</si>
  <si>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</si>
  <si>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</si>
  <si>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</si>
  <si>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</si>
  <si>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</si>
  <si>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</si>
  <si>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径</t>
  </si>
  <si>
    <t>単重</t>
  </si>
  <si>
    <t>N/m</t>
  </si>
  <si>
    <t>許容曲応力</t>
  </si>
  <si>
    <t>１３</t>
  </si>
  <si>
    <t>断面積</t>
  </si>
  <si>
    <t>足場チェーン</t>
  </si>
  <si>
    <t>１本吊り</t>
  </si>
  <si>
    <t>ループ吊り</t>
  </si>
  <si>
    <t>破断強度</t>
  </si>
  <si>
    <t>許容荷重</t>
  </si>
  <si>
    <t>N</t>
  </si>
  <si>
    <t>N/m</t>
  </si>
  <si>
    <t>死荷重</t>
  </si>
  <si>
    <t>φ48.6×2.4(STK500)</t>
  </si>
  <si>
    <t>径×厚さ（材質）</t>
  </si>
  <si>
    <t>断面２次　　　ﾓｰﾒﾝﾄ</t>
  </si>
  <si>
    <t>ヤング　　　係数</t>
  </si>
  <si>
    <t>許容　　　曲応力度</t>
  </si>
  <si>
    <t>活荷重</t>
  </si>
  <si>
    <t>N/m 枚</t>
  </si>
  <si>
    <t>集中荷重</t>
  </si>
  <si>
    <t>当分布荷重</t>
  </si>
  <si>
    <t>m</t>
  </si>
  <si>
    <t>Ｐ</t>
  </si>
  <si>
    <t>ころばし＋足場板</t>
  </si>
  <si>
    <t>活荷重（作業員）</t>
  </si>
  <si>
    <t>おやご</t>
  </si>
  <si>
    <t>@</t>
  </si>
  <si>
    <t>N</t>
  </si>
  <si>
    <t>足場      チェーン</t>
  </si>
  <si>
    <t>曲げ応力</t>
  </si>
  <si>
    <t>=</t>
  </si>
  <si>
    <t>×</t>
  </si>
  <si>
    <t>足  場  計  算  書</t>
  </si>
  <si>
    <t>平成</t>
  </si>
  <si>
    <t>年</t>
  </si>
  <si>
    <t>月</t>
  </si>
  <si>
    <r>
      <t>mm</t>
    </r>
    <r>
      <rPr>
        <vertAlign val="superscript"/>
        <sz val="11"/>
        <rFont val="ＭＳ Ｐ明朝"/>
        <family val="1"/>
      </rPr>
      <t>4</t>
    </r>
  </si>
  <si>
    <r>
      <t>N/m</t>
    </r>
    <r>
      <rPr>
        <vertAlign val="superscript"/>
        <sz val="11"/>
        <rFont val="ＭＳ Ｐ明朝"/>
        <family val="1"/>
      </rPr>
      <t>2</t>
    </r>
  </si>
  <si>
    <t>P</t>
  </si>
  <si>
    <t>=</t>
  </si>
  <si>
    <t>w</t>
  </si>
  <si>
    <t>=</t>
  </si>
  <si>
    <t>曲げモーメント</t>
  </si>
  <si>
    <t>M</t>
  </si>
  <si>
    <t>=</t>
  </si>
  <si>
    <t>P ･ L</t>
  </si>
  <si>
    <r>
      <t>w ･ L</t>
    </r>
    <r>
      <rPr>
        <vertAlign val="superscript"/>
        <sz val="11"/>
        <rFont val="ＭＳ Ｐ明朝"/>
        <family val="1"/>
      </rPr>
      <t>2</t>
    </r>
  </si>
  <si>
    <t>2</t>
  </si>
  <si>
    <t>N･m</t>
  </si>
  <si>
    <t>σ</t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</si>
  <si>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</si>
  <si>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σa =</t>
  </si>
  <si>
    <r>
      <t>N/mm</t>
    </r>
    <r>
      <rPr>
        <vertAlign val="superscript"/>
        <sz val="11"/>
        <rFont val="ＭＳ Ｐ明朝"/>
        <family val="1"/>
      </rPr>
      <t>2</t>
    </r>
  </si>
  <si>
    <t xml:space="preserve"> δ</t>
  </si>
  <si>
    <r>
      <t>P ･ L</t>
    </r>
    <r>
      <rPr>
        <vertAlign val="superscript"/>
        <sz val="11"/>
        <rFont val="ＭＳ Ｐ明朝"/>
        <family val="1"/>
      </rPr>
      <t>3</t>
    </r>
  </si>
  <si>
    <r>
      <t>5 ･ w ･ L</t>
    </r>
    <r>
      <rPr>
        <vertAlign val="superscript"/>
        <sz val="11"/>
        <rFont val="ＭＳ Ｐ明朝"/>
        <family val="1"/>
      </rPr>
      <t>4</t>
    </r>
  </si>
  <si>
    <t>48 ･ E ･ I</t>
  </si>
  <si>
    <t>384 ･ E ･ I</t>
  </si>
  <si>
    <t>3</t>
  </si>
  <si>
    <t>4</t>
  </si>
  <si>
    <t>×</t>
  </si>
  <si>
    <t>mm</t>
  </si>
  <si>
    <r>
      <t>N/m</t>
    </r>
    <r>
      <rPr>
        <vertAlign val="superscript"/>
        <sz val="11"/>
        <color indexed="12"/>
        <rFont val="ＭＳ Ｐ明朝"/>
        <family val="1"/>
      </rPr>
      <t>2</t>
    </r>
  </si>
  <si>
    <t>ｗ</t>
  </si>
  <si>
    <r>
      <t>足場ﾁｪｰﾝ（</t>
    </r>
    <r>
      <rPr>
        <b/>
        <sz val="11"/>
        <rFont val="ＭＳ Ｐ明朝"/>
        <family val="1"/>
      </rPr>
      <t>×</t>
    </r>
    <r>
      <rPr>
        <sz val="11"/>
        <rFont val="ＭＳ Ｐ明朝"/>
        <family val="1"/>
      </rPr>
      <t>点）</t>
    </r>
  </si>
  <si>
    <t>Ｐ</t>
  </si>
  <si>
    <t>おやご</t>
  </si>
  <si>
    <t>ｗ</t>
  </si>
  <si>
    <t xml:space="preserve"> N/m</t>
  </si>
  <si>
    <t>N/m</t>
  </si>
  <si>
    <t>吊りチェーン</t>
  </si>
  <si>
    <t>１</t>
  </si>
  <si>
    <t>FP =</t>
  </si>
  <si>
    <t>N</t>
  </si>
  <si>
    <t>SF =</t>
  </si>
  <si>
    <t>mm</t>
  </si>
  <si>
    <t>N</t>
  </si>
  <si>
    <t>Ta =</t>
  </si>
  <si>
    <t>mm</t>
  </si>
  <si>
    <t>Ｐ</t>
  </si>
  <si>
    <r>
      <t>足場ﾁｪｰﾝ（</t>
    </r>
    <r>
      <rPr>
        <b/>
        <sz val="11"/>
        <rFont val="ＭＳ Ｐ明朝"/>
        <family val="1"/>
      </rPr>
      <t>×</t>
    </r>
    <r>
      <rPr>
        <sz val="11"/>
        <rFont val="ＭＳ Ｐ明朝"/>
        <family val="1"/>
      </rPr>
      <t>点）</t>
    </r>
  </si>
  <si>
    <t>=</t>
  </si>
  <si>
    <t>N</t>
  </si>
  <si>
    <t>ころばしパイプ</t>
  </si>
  <si>
    <t>おやごパイプ</t>
  </si>
  <si>
    <t>T</t>
  </si>
  <si>
    <t>Ta =</t>
  </si>
  <si>
    <t>Ｎ</t>
  </si>
  <si>
    <t>□100×3.2(STKR490)</t>
  </si>
  <si>
    <r>
      <t>活荷重　</t>
    </r>
    <r>
      <rPr>
        <sz val="11"/>
        <rFont val="ＭＳ Ｐゴシック"/>
        <family val="3"/>
      </rPr>
      <t>単位：Ｎ　　　　ただし、ワイヤーブリッジの単位は（Ｎ/ｍ）</t>
    </r>
  </si>
  <si>
    <t>名　称</t>
  </si>
  <si>
    <t>載荷条件</t>
  </si>
  <si>
    <t>作業員　　　（Ｎ）</t>
  </si>
  <si>
    <t>運搬物　　　（Ｎ）</t>
  </si>
  <si>
    <t>衝撃２０％　　　（Ｎ）</t>
  </si>
  <si>
    <t>計　　　　　　（Ｎ,N/m）</t>
  </si>
  <si>
    <t>備　　　　考</t>
  </si>
  <si>
    <t>昇降階段</t>
  </si>
  <si>
    <t>１基当り　　　１０人</t>
  </si>
  <si>
    <t>高さにかかわらず、10人が階段に添って分散載荷する。</t>
  </si>
  <si>
    <t>部分階段</t>
  </si>
  <si>
    <t>足場板１枚当り　　１人</t>
  </si>
  <si>
    <t>頂部おやごの照査では1.5人の作業員荷重を見込む。</t>
  </si>
  <si>
    <t>ワイヤーブリッジ</t>
  </si>
  <si>
    <t>１通路当り　　１人/３m</t>
  </si>
  <si>
    <t>等分布荷重</t>
  </si>
  <si>
    <t>○</t>
  </si>
  <si>
    <t>直交型</t>
  </si>
  <si>
    <t>自在型</t>
  </si>
  <si>
    <t>.基準風速 Vo  決定表</t>
  </si>
  <si>
    <t>該当欄に○印を記入する</t>
  </si>
  <si>
    <t>決定基準風速(m/s)  =</t>
  </si>
  <si>
    <t>地方</t>
  </si>
  <si>
    <t>基準風速(m/s)</t>
  </si>
  <si>
    <t>地　　　域</t>
  </si>
  <si>
    <t>該当</t>
  </si>
  <si>
    <t>○</t>
  </si>
  <si>
    <t>×</t>
  </si>
  <si>
    <t>　北海道</t>
  </si>
  <si>
    <t>宗谷支庁（18ｍ/s地域を除く全域）、上川支庁（中川郡）、十勝支庁全域</t>
  </si>
  <si>
    <t>空知支庁全域、石狩支庁全域、後志支庁（20m/s並びに18m/s地域を除く全域）</t>
  </si>
  <si>
    <r>
      <t>網走支庁（20</t>
    </r>
    <r>
      <rPr>
        <sz val="10"/>
        <rFont val="ＭＳ Ｐゴシック"/>
        <family val="3"/>
      </rPr>
      <t>m/s</t>
    </r>
    <r>
      <rPr>
        <sz val="10"/>
        <rFont val="ＭＳ Ｐゴシック"/>
        <family val="3"/>
      </rPr>
      <t>並びに</t>
    </r>
    <r>
      <rPr>
        <sz val="10"/>
        <rFont val="ＭＳ Ｐゴシック"/>
        <family val="3"/>
      </rPr>
      <t>18m/s</t>
    </r>
    <r>
      <rPr>
        <sz val="10"/>
        <rFont val="ＭＳ Ｐゴシック"/>
        <family val="3"/>
      </rPr>
      <t>地域を除く全域）</t>
    </r>
  </si>
  <si>
    <t>宗谷支庁（稚内市、天塩郡、礼文郡、利尻郡）、留崩支庁全域、網走支庁（斜里郡）</t>
  </si>
  <si>
    <r>
      <t>根室支庁（20m/s地域を除く全域）、釧路支庁全域、日高支庁（</t>
    </r>
    <r>
      <rPr>
        <sz val="10"/>
        <rFont val="ＭＳ Ｐゴシック"/>
        <family val="3"/>
      </rPr>
      <t>20m/s</t>
    </r>
    <r>
      <rPr>
        <sz val="10"/>
        <rFont val="ＭＳ Ｐゴシック"/>
        <family val="3"/>
      </rPr>
      <t>地域を除く全域）</t>
    </r>
  </si>
  <si>
    <t>北海道</t>
  </si>
  <si>
    <t>後志支庁（島牧郡）、胆振支庁全域、渡島支庁全域、桧山支庁（20m/s地域を除く全域）</t>
  </si>
  <si>
    <t>網走支庁（紋別郡、雄武郡、興武町）、根室支庁（根室市）</t>
  </si>
  <si>
    <t>日高支庁（三石郡、浦河郡、様似郡、幌泉郡）、後志支庁（寿都郡）、桧山支庁（桧山郡）</t>
  </si>
  <si>
    <t>東北</t>
  </si>
  <si>
    <t>福島県（白河市、須賀川市、岩瀬郡、西白河郡）</t>
  </si>
  <si>
    <t>青森県全域、岩手県全域、宮城県全域、</t>
  </si>
  <si>
    <t>秋田県（20m/s地域を除く全域）</t>
  </si>
  <si>
    <t>関東</t>
  </si>
  <si>
    <t>山形県（酒田市、鶴岡市、飽海郡、東田川郡、西田川郡）</t>
  </si>
  <si>
    <t>秋田県（秋田市、本庄市、由利郡）</t>
  </si>
  <si>
    <t>　　関東</t>
  </si>
  <si>
    <t>茨城県（鹿島郡、行方郡、稲敷郡、竜ケ崎市、北相馬郡、東茨城郡、新治郡、石岡市、</t>
  </si>
  <si>
    <t>北陸・中部</t>
  </si>
  <si>
    <t>　　土浦市、取手市）</t>
  </si>
  <si>
    <t>栃木県（那須郡、黒磯市）</t>
  </si>
  <si>
    <t>近畿</t>
  </si>
  <si>
    <t>群馬県（利根郡、勢多郡、山田郡、桐生市、前橋市、高崎市、伊勢崎市、佐波郡、新田郡</t>
  </si>
  <si>
    <t>　　太田市、邑楽郡、館林市、沼田市）</t>
  </si>
  <si>
    <t>中国</t>
  </si>
  <si>
    <t>埼玉県（秩父市、飯能市、秩父郡、入間郡、児玉郡を除く全域）</t>
  </si>
  <si>
    <t>千葉県（安房郡、館山市、鴨川市）、東京都（20m/s並びに18m/s地域を除く全域）</t>
  </si>
  <si>
    <t>四国</t>
  </si>
  <si>
    <t>神奈川県（18m/s地域を除く全域）</t>
  </si>
  <si>
    <t>千葉県（銚子市、安房郡、館山市、鴨川市を除く全域）</t>
  </si>
  <si>
    <t>東京都（23区内）</t>
  </si>
  <si>
    <t>九州</t>
  </si>
  <si>
    <t>神奈川県（川崎市、横浜市、横須賀市、逗子市、鎌倉市、三浦市、三浦郡）</t>
  </si>
  <si>
    <t>千葉県（銚子市）</t>
  </si>
  <si>
    <t>沖縄</t>
  </si>
  <si>
    <t>東京都（大島支庁、三宅支庁、八丈支庁、小笠原支庁）</t>
  </si>
  <si>
    <t>その他</t>
  </si>
  <si>
    <t>北陸・中部</t>
  </si>
  <si>
    <t>新潟県（18m/s地域を除く全域）</t>
  </si>
  <si>
    <t>○印の個数</t>
  </si>
  <si>
    <t>富山県全域</t>
  </si>
  <si>
    <t>山梨県全域</t>
  </si>
  <si>
    <t>岐阜県（不破郡、養老郡）</t>
  </si>
  <si>
    <t>静岡県（18m/s地域を除く全域）</t>
  </si>
  <si>
    <t>愛知県（18m/s地域を除く全域）</t>
  </si>
  <si>
    <t>三重県（18m/s地域を除く全域）</t>
  </si>
  <si>
    <t>新潟県(岩船郡、村上市、北蒲原郡、新発田市、豊栄市、新潟市、新津市、五泉市、</t>
  </si>
  <si>
    <t>　　白根市、燕市、西蒲原郡、三島郡、両津市、佐渡郡）</t>
  </si>
  <si>
    <t>石川県（輪島市、珠洲市、珠洲郡鳳至郡、鹿島郡、七尾市、羽昨市、羽昨郡）</t>
  </si>
  <si>
    <t>静岡県（小笠郡、榛原郡の内、御前崎町、相良町、吉田町、榛原町）</t>
  </si>
  <si>
    <t>愛知県（渥美郡）</t>
  </si>
  <si>
    <t>三重県（津市、久居市、松阪市、伊勢市、鳥羽市、志摩郡、一志郡、多気郡、度会郡）</t>
  </si>
  <si>
    <t>滋賀県全域</t>
  </si>
  <si>
    <t>大阪府全域</t>
  </si>
  <si>
    <t>兵庫県（伊丹市、宝塚市、川西市、川辺郡、三田市、美襄郡、加東郡、西脇市、三木市</t>
  </si>
  <si>
    <t>　　小野市、加西市、多可郡、神崎郡、飾磨郡、揖保郡、竜野市、相生市、赤穂市、</t>
  </si>
  <si>
    <t>　　赤穂郡、津名郡、洲木市、三原郡）</t>
  </si>
  <si>
    <t>和歌山県（18m/s地域を除く全域）</t>
  </si>
  <si>
    <t>兵庫県（尼崎市、西宮市、芦屋市、神戸市、明石市、加古郡、加古川市、高砂市、</t>
  </si>
  <si>
    <t>　　印南郡、姫路市）</t>
  </si>
  <si>
    <t>和歌山県（和歌山市、海草郡、有田市、海南市）</t>
  </si>
  <si>
    <t>鳥取県全域</t>
  </si>
  <si>
    <t>山口県（阿武郡、萩市、大津郡、長門市、豊浦郡、下関市、厚峡郡、小野田市、宇部市）</t>
  </si>
  <si>
    <t>島根県全域</t>
  </si>
  <si>
    <t>徳島県（鳴門市、板野郡）</t>
  </si>
  <si>
    <t>香川県全域</t>
  </si>
  <si>
    <t>愛媛県（南宇部郡、北宇部郡、宇和島市、東宇和郡、西宇和郡、八幡浜市、</t>
  </si>
  <si>
    <t>　　喜多郡長浜町、大洲市）</t>
  </si>
  <si>
    <t>徳島県（徳島市、小松島市、那賀郡、阿南市、海部郡）</t>
  </si>
  <si>
    <t>高知県（安芸市、安芸郡、幡多郡、中村市、土佐清水市、宿毛市）</t>
  </si>
  <si>
    <t>高知県（室戸市）</t>
  </si>
  <si>
    <t>福岡県（北九州市、中間市、京都郡苅田町、行橋市、遠賀郡）</t>
  </si>
  <si>
    <t>長崎県（平戸市、松浦市、北松浦郡、壱岐郡、上県郡、下県郡）</t>
  </si>
  <si>
    <t>宮崎県（宮崎市、宮崎郡、南那阿郡、日南市、串間市）</t>
  </si>
  <si>
    <t>鹿児島県（肝属郡、鹿屋市、曽於郡、揖宿市、指宿郡、川辺郡、枕崎市、加世田市</t>
  </si>
  <si>
    <t>　　大島郡、名瀬市）</t>
  </si>
  <si>
    <t>長崎県（南松浦郡、福江市）</t>
  </si>
  <si>
    <t>鹿児島県(薩南諸島の大島郡、名瀬市以外）</t>
  </si>
  <si>
    <t>沖縄県全域</t>
  </si>
  <si>
    <t>上記外の地域</t>
  </si>
  <si>
    <t>ころばし間隔</t>
  </si>
  <si>
    <t>表4.5　　地上Ｚ（ｍ）における瞬間風速分布係数　Ｓ</t>
  </si>
  <si>
    <t>地上からの高さ　　　　Ｚ（ｍ）</t>
  </si>
  <si>
    <t>地域区分</t>
  </si>
  <si>
    <t>地上からの高さ　　　　　　　Ｚ（ｍ）</t>
  </si>
  <si>
    <t>行番号</t>
  </si>
  <si>
    <t>地域Ⅰ海岸・海上</t>
  </si>
  <si>
    <t>地域Ⅱ草原・田園</t>
  </si>
  <si>
    <t>地域Ⅲ郊外・森</t>
  </si>
  <si>
    <t>地域Ⅳ一般市街地</t>
  </si>
  <si>
    <t>地域Ⅴ大都市市街地</t>
  </si>
  <si>
    <t>（行番号）</t>
  </si>
  <si>
    <t>（列番号）</t>
  </si>
  <si>
    <t>0m＜ h ≦10m</t>
  </si>
  <si>
    <t>10m＜ h ≦20m</t>
  </si>
  <si>
    <t>20m＜ h ≦35m</t>
  </si>
  <si>
    <t>35m＜ h ≦40m</t>
  </si>
  <si>
    <t>40m＜ h ≦50m</t>
  </si>
  <si>
    <t>50m＜ h ≦55m</t>
  </si>
  <si>
    <t>55m＜ h ≦70m</t>
  </si>
  <si>
    <t>布</t>
  </si>
  <si>
    <t>70m＜ h ≦100m</t>
  </si>
  <si>
    <t>列　番　号</t>
  </si>
  <si>
    <t>表4.4　　台風時割り増し係数　Ｋｅ</t>
  </si>
  <si>
    <t>県名</t>
  </si>
  <si>
    <t>割り増し係数</t>
  </si>
  <si>
    <t>山口県</t>
  </si>
  <si>
    <t>福岡県</t>
  </si>
  <si>
    <t>佐賀県</t>
  </si>
  <si>
    <t>長崎県</t>
  </si>
  <si>
    <t>熊本県</t>
  </si>
  <si>
    <t>（１）荷　重</t>
  </si>
  <si>
    <t>大分県</t>
  </si>
  <si>
    <t>１）風荷重</t>
  </si>
  <si>
    <t>宮崎県</t>
  </si>
  <si>
    <r>
      <t>①設計風速：Ｖ</t>
    </r>
    <r>
      <rPr>
        <vertAlign val="subscript"/>
        <sz val="11"/>
        <rFont val="ＭＳ Ｐ明朝"/>
        <family val="1"/>
      </rPr>
      <t>Ｚ</t>
    </r>
  </si>
  <si>
    <t>鹿児島県</t>
  </si>
  <si>
    <r>
      <t>V</t>
    </r>
    <r>
      <rPr>
        <vertAlign val="subscript"/>
        <sz val="11"/>
        <rFont val="ＭＳ Ｐ明朝"/>
        <family val="1"/>
      </rPr>
      <t xml:space="preserve">Z </t>
    </r>
    <r>
      <rPr>
        <sz val="11"/>
        <rFont val="ＭＳ Ｐ明朝"/>
        <family val="1"/>
      </rPr>
      <t>= V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>・K</t>
    </r>
    <r>
      <rPr>
        <vertAlign val="subscript"/>
        <sz val="11"/>
        <rFont val="ＭＳ Ｐ明朝"/>
        <family val="1"/>
      </rPr>
      <t>e</t>
    </r>
    <r>
      <rPr>
        <sz val="11"/>
        <rFont val="ＭＳ Ｐ明朝"/>
        <family val="1"/>
      </rPr>
      <t>・S・E</t>
    </r>
    <r>
      <rPr>
        <vertAlign val="subscript"/>
        <sz val="11"/>
        <rFont val="ＭＳ Ｐ明朝"/>
        <family val="1"/>
      </rPr>
      <t xml:space="preserve">B </t>
    </r>
    <r>
      <rPr>
        <sz val="11"/>
        <rFont val="ＭＳ Ｐ明朝"/>
        <family val="1"/>
      </rPr>
      <t>=</t>
    </r>
  </si>
  <si>
    <t>×</t>
  </si>
  <si>
    <t>=</t>
  </si>
  <si>
    <t>m/s</t>
  </si>
  <si>
    <t>沖縄県</t>
  </si>
  <si>
    <r>
      <t>V</t>
    </r>
    <r>
      <rPr>
        <vertAlign val="subscript"/>
        <sz val="11"/>
        <rFont val="ＭＳ Ｐ明朝"/>
        <family val="1"/>
      </rPr>
      <t>0</t>
    </r>
  </si>
  <si>
    <t>（</t>
  </si>
  <si>
    <t>基準風速　施工地</t>
  </si>
  <si>
    <t>なしの都道府県</t>
  </si>
  <si>
    <t>Ke</t>
  </si>
  <si>
    <t>（</t>
  </si>
  <si>
    <t>台風時割り増し係数</t>
  </si>
  <si>
    <t>）</t>
  </si>
  <si>
    <t>S</t>
  </si>
  <si>
    <r>
      <t>E</t>
    </r>
    <r>
      <rPr>
        <vertAlign val="subscript"/>
        <sz val="11"/>
        <rFont val="ＭＳ Ｐ明朝"/>
        <family val="1"/>
      </rPr>
      <t>B</t>
    </r>
  </si>
  <si>
    <t>近接高層建築物</t>
  </si>
  <si>
    <t>足場</t>
  </si>
  <si>
    <t>注）上記各係数等の各値は「足場工・防護工</t>
  </si>
  <si>
    <t>の施工計画の手引き」第４章を参照</t>
  </si>
  <si>
    <t>H</t>
  </si>
  <si>
    <r>
      <t>V</t>
    </r>
    <r>
      <rPr>
        <vertAlign val="subscript"/>
        <sz val="11"/>
        <rFont val="ＭＳ Ｐ明朝"/>
        <family val="1"/>
      </rPr>
      <t>0</t>
    </r>
  </si>
  <si>
    <t>：基準風速　　表4.3に示す地域</t>
  </si>
  <si>
    <t>Z</t>
  </si>
  <si>
    <t>を除き 14m/s とする。</t>
  </si>
  <si>
    <t>あり</t>
  </si>
  <si>
    <t>Ke</t>
  </si>
  <si>
    <t>：台風時割り増し係数</t>
  </si>
  <si>
    <t>なし</t>
  </si>
  <si>
    <t>　　表4.4 に示す値とする。</t>
  </si>
  <si>
    <t>L</t>
  </si>
  <si>
    <t>近接高層建築物による割り増し係数</t>
  </si>
  <si>
    <t>S</t>
  </si>
  <si>
    <t>：瞬間風速分布係数</t>
  </si>
  <si>
    <t>D</t>
  </si>
  <si>
    <r>
      <t>E</t>
    </r>
    <r>
      <rPr>
        <vertAlign val="subscript"/>
        <sz val="11"/>
        <rFont val="ＭＳ Ｐ明朝"/>
        <family val="1"/>
      </rPr>
      <t>B</t>
    </r>
    <r>
      <rPr>
        <sz val="11"/>
        <rFont val="ＭＳ Ｐ明朝"/>
        <family val="1"/>
      </rPr>
      <t>：近接高層建築物による割り増し係数決定用条件</t>
    </r>
  </si>
  <si>
    <t>高層建築からの　　至近距離条件</t>
  </si>
  <si>
    <r>
      <t>割り増し係数　　　　E</t>
    </r>
    <r>
      <rPr>
        <vertAlign val="subscript"/>
        <sz val="10"/>
        <rFont val="ＭＳ Ｐ明朝"/>
        <family val="1"/>
      </rPr>
      <t>B</t>
    </r>
  </si>
  <si>
    <t>注釈文</t>
  </si>
  <si>
    <t>　　表4.5 に示す値とする。</t>
  </si>
  <si>
    <t>L=</t>
  </si>
  <si>
    <t>m</t>
  </si>
  <si>
    <t>a1～a4</t>
  </si>
  <si>
    <t>r1～r4</t>
  </si>
  <si>
    <t>E1～E4</t>
  </si>
  <si>
    <t>L1～L4</t>
  </si>
  <si>
    <r>
      <t>E</t>
    </r>
    <r>
      <rPr>
        <vertAlign val="subscript"/>
        <sz val="11"/>
        <rFont val="ＭＳ Ｐ明朝"/>
        <family val="1"/>
      </rPr>
      <t>B</t>
    </r>
  </si>
  <si>
    <t>：近接高層建築物による割り増し係数</t>
  </si>
  <si>
    <t>H=</t>
  </si>
  <si>
    <t>m</t>
  </si>
  <si>
    <r>
      <t>L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＜L</t>
    </r>
  </si>
  <si>
    <t>建築物の影響を受けない）</t>
  </si>
  <si>
    <t>　　（７）項（５２頁）により求める。</t>
  </si>
  <si>
    <t>W=</t>
  </si>
  <si>
    <t>m</t>
  </si>
  <si>
    <r>
      <t>L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1</t>
    </r>
  </si>
  <si>
    <t>建築物の影響条件　L2＜L≦L1）</t>
  </si>
  <si>
    <t>D=</t>
  </si>
  <si>
    <r>
      <t>L</t>
    </r>
    <r>
      <rPr>
        <vertAlign val="subscript"/>
        <sz val="11"/>
        <rFont val="ＭＳ Ｐ明朝"/>
        <family val="1"/>
      </rPr>
      <t>3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2</t>
    </r>
  </si>
  <si>
    <t>建築物の影響条件　L3＜L≦L2）</t>
  </si>
  <si>
    <t>W</t>
  </si>
  <si>
    <t>Z≦H/2</t>
  </si>
  <si>
    <r>
      <t>L</t>
    </r>
    <r>
      <rPr>
        <vertAlign val="subscript"/>
        <sz val="11"/>
        <rFont val="ＭＳ Ｐ明朝"/>
        <family val="1"/>
      </rPr>
      <t>4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3</t>
    </r>
  </si>
  <si>
    <t>建築物の影響条件　L4＜L≦L3）</t>
  </si>
  <si>
    <t>②風力係数：Ｃ1</t>
  </si>
  <si>
    <t>シート・板張り</t>
  </si>
  <si>
    <t>１</t>
  </si>
  <si>
    <t>２</t>
  </si>
  <si>
    <t>３</t>
  </si>
  <si>
    <t>４</t>
  </si>
  <si>
    <t>C1</t>
  </si>
  <si>
    <t>=   0.11 + 0.945 C0 ・R</t>
  </si>
  <si>
    <t>シート・ネット材料</t>
  </si>
  <si>
    <t>充実率　φ</t>
  </si>
  <si>
    <r>
      <t>基本風力係数　Ｃ</t>
    </r>
    <r>
      <rPr>
        <vertAlign val="subscript"/>
        <sz val="11"/>
        <rFont val="ＭＳ Ｐ明朝"/>
        <family val="1"/>
      </rPr>
      <t>０</t>
    </r>
  </si>
  <si>
    <r>
      <t>単重　N/m</t>
    </r>
    <r>
      <rPr>
        <vertAlign val="superscript"/>
        <sz val="11"/>
        <rFont val="ＭＳ Ｐ明朝"/>
        <family val="1"/>
      </rPr>
      <t>2</t>
    </r>
  </si>
  <si>
    <t xml:space="preserve">=   0.11  + </t>
  </si>
  <si>
    <t>防災メッシュ</t>
  </si>
  <si>
    <t>C0 ：基本風力係数</t>
  </si>
  <si>
    <t>ﾗｯｾﾙﾈｯﾄ 15mm目</t>
  </si>
  <si>
    <t>φ　=</t>
  </si>
  <si>
    <t>（ネット・板張り等の充実率）</t>
  </si>
  <si>
    <t>養生ﾈｯﾄ   15mm目</t>
  </si>
  <si>
    <t>養生ﾈｯﾄ   25mm目</t>
  </si>
  <si>
    <t>C0 =</t>
  </si>
  <si>
    <t>注）単重は杉考足場機材マニュアルによる。</t>
  </si>
  <si>
    <t>Ｒ：シート・ネット等の縦横比による形状補正係数</t>
  </si>
  <si>
    <r>
      <t>R = 0.5813 + 0.013 α - 0.0001 α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　=</t>
    </r>
  </si>
  <si>
    <t>φ= 1　なので</t>
  </si>
  <si>
    <t>A</t>
  </si>
  <si>
    <t>C0 = 2</t>
  </si>
  <si>
    <t>ここに</t>
  </si>
  <si>
    <t>φ≠1,  K≦0.73 なので</t>
  </si>
  <si>
    <t>B</t>
  </si>
  <si>
    <r>
      <t>C</t>
    </r>
    <r>
      <rPr>
        <vertAlign val="subscript"/>
        <sz val="11"/>
        <rFont val="ＭＳ Ｐ明朝"/>
        <family val="1"/>
      </rPr>
      <t xml:space="preserve">0 </t>
    </r>
    <r>
      <rPr>
        <sz val="11"/>
        <rFont val="ＭＳ Ｐ明朝"/>
        <family val="1"/>
      </rPr>
      <t>= K /　SQRT( 1 + K/4 )</t>
    </r>
  </si>
  <si>
    <t xml:space="preserve">α = L / B = </t>
  </si>
  <si>
    <t>φ≠1,  K＞0.73 なので</t>
  </si>
  <si>
    <t>C</t>
  </si>
  <si>
    <r>
      <t>C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 xml:space="preserve"> = 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>(K +0.6-SQRT(1.2K+0.36))-2.8log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 xml:space="preserve">K+2.0 </t>
    </r>
  </si>
  <si>
    <t>L：朝顔施工長</t>
  </si>
  <si>
    <t>ｍ</t>
  </si>
  <si>
    <t>B：朝顔高さ</t>
  </si>
  <si>
    <t>ｍ</t>
  </si>
  <si>
    <t>②風力係数：C2</t>
  </si>
  <si>
    <t>C2</t>
  </si>
  <si>
    <t>=  0.11 + 0.945 C0 ・R</t>
  </si>
  <si>
    <t xml:space="preserve">=  0.11 + </t>
  </si>
  <si>
    <t>φ= 1　なので</t>
  </si>
  <si>
    <t>A</t>
  </si>
  <si>
    <t>C0 = 2</t>
  </si>
  <si>
    <t>φ≠1,  K≦0.73 なので</t>
  </si>
  <si>
    <t>B</t>
  </si>
  <si>
    <r>
      <t>C</t>
    </r>
    <r>
      <rPr>
        <vertAlign val="subscript"/>
        <sz val="11"/>
        <rFont val="ＭＳ Ｐ明朝"/>
        <family val="1"/>
      </rPr>
      <t xml:space="preserve">0 </t>
    </r>
    <r>
      <rPr>
        <sz val="11"/>
        <rFont val="ＭＳ Ｐ明朝"/>
        <family val="1"/>
      </rPr>
      <t>= K /　SQRT( 1 + K/4 )</t>
    </r>
  </si>
  <si>
    <t>φ =</t>
  </si>
  <si>
    <t>φ≠1,  K＞0.73 なので</t>
  </si>
  <si>
    <t>C</t>
  </si>
  <si>
    <r>
      <t>C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 xml:space="preserve"> = 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>(K +0.6-SQRT(1.2K+0.36))-2.8log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 xml:space="preserve">K+2.0 </t>
    </r>
  </si>
  <si>
    <t>C0 =</t>
  </si>
  <si>
    <t>2</t>
  </si>
  <si>
    <t>＝</t>
  </si>
  <si>
    <r>
      <t>N/m</t>
    </r>
    <r>
      <rPr>
        <vertAlign val="superscript"/>
        <sz val="11"/>
        <rFont val="ＭＳ Ｐ明朝"/>
        <family val="1"/>
      </rPr>
      <t>2</t>
    </r>
  </si>
  <si>
    <t>m)</t>
  </si>
  <si>
    <t>ころばし</t>
  </si>
  <si>
    <t>×</t>
  </si>
  <si>
    <t>=</t>
  </si>
  <si>
    <t>N</t>
  </si>
  <si>
    <t>押さえパイプ</t>
  </si>
  <si>
    <t>×</t>
  </si>
  <si>
    <t>=</t>
  </si>
  <si>
    <t>N</t>
  </si>
  <si>
    <t>はなどめ</t>
  </si>
  <si>
    <t>クランプ</t>
  </si>
  <si>
    <t>(</t>
  </si>
  <si>
    <t>＋</t>
  </si>
  <si>
    <t>)×</t>
  </si>
  <si>
    <t>m)</t>
  </si>
  <si>
    <t>×</t>
  </si>
  <si>
    <t>=</t>
  </si>
  <si>
    <t>N</t>
  </si>
  <si>
    <t>やらず</t>
  </si>
  <si>
    <t>合板（t=12）</t>
  </si>
  <si>
    <t>m</t>
  </si>
  <si>
    <t>養生ネット</t>
  </si>
  <si>
    <t>吊りチェーン</t>
  </si>
  <si>
    <t>FP =</t>
  </si>
  <si>
    <t>N</t>
  </si>
  <si>
    <t>SF =</t>
  </si>
  <si>
    <t>Ta =</t>
  </si>
  <si>
    <t>チェーン間隔</t>
  </si>
  <si>
    <t>mm</t>
  </si>
  <si>
    <t>活荷重　（</t>
  </si>
  <si>
    <t>）はチェーン１本に作用する</t>
  </si>
  <si>
    <t>鉛直力</t>
  </si>
  <si>
    <t>N = (</t>
  </si>
  <si>
    <t>+</t>
  </si>
  <si>
    <t>）×</t>
  </si>
  <si>
    <t>=</t>
  </si>
  <si>
    <t>N</t>
  </si>
  <si>
    <t>張　力</t>
  </si>
  <si>
    <t xml:space="preserve">T = </t>
  </si>
  <si>
    <t>Ta =</t>
  </si>
  <si>
    <t>足場チェーン②</t>
  </si>
  <si>
    <t>＠</t>
  </si>
  <si>
    <r>
      <t>h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＝</t>
    </r>
  </si>
  <si>
    <t>h</t>
  </si>
  <si>
    <r>
      <t>ｈ</t>
    </r>
    <r>
      <rPr>
        <vertAlign val="subscript"/>
        <sz val="10"/>
        <rFont val="ＭＳ Ｐ明朝"/>
        <family val="1"/>
      </rPr>
      <t>Ｒ</t>
    </r>
    <r>
      <rPr>
        <sz val="10"/>
        <rFont val="ＭＳ Ｐ明朝"/>
        <family val="1"/>
      </rPr>
      <t>＝</t>
    </r>
  </si>
  <si>
    <t>FP =</t>
  </si>
  <si>
    <t>SF =</t>
  </si>
  <si>
    <t>張力の計算</t>
  </si>
  <si>
    <t>W</t>
  </si>
  <si>
    <t>θ</t>
  </si>
  <si>
    <r>
      <t>tan</t>
    </r>
    <r>
      <rPr>
        <vertAlign val="superscript"/>
        <sz val="11"/>
        <rFont val="ＭＳ Ｐ明朝"/>
        <family val="1"/>
      </rPr>
      <t>-1</t>
    </r>
  </si>
  <si>
    <t>rad</t>
  </si>
  <si>
    <r>
      <t>w</t>
    </r>
    <r>
      <rPr>
        <vertAlign val="subscript"/>
        <sz val="11"/>
        <rFont val="ＭＳ Ｐ明朝"/>
        <family val="1"/>
      </rPr>
      <t>1</t>
    </r>
  </si>
  <si>
    <r>
      <t xml:space="preserve"> p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× b  = </t>
    </r>
  </si>
  <si>
    <t>N/m</t>
  </si>
  <si>
    <t>P</t>
  </si>
  <si>
    <t>+</t>
  </si>
  <si>
    <t>h</t>
  </si>
  <si>
    <r>
      <t>ｈ</t>
    </r>
    <r>
      <rPr>
        <vertAlign val="subscript"/>
        <sz val="11"/>
        <rFont val="ＭＳ Ｐ明朝"/>
        <family val="1"/>
      </rPr>
      <t>Ｒ</t>
    </r>
    <r>
      <rPr>
        <sz val="11"/>
        <rFont val="ＭＳ Ｐ明朝"/>
        <family val="1"/>
      </rPr>
      <t xml:space="preserve"> +</t>
    </r>
  </si>
  <si>
    <t>0m＜ h ≦10m</t>
  </si>
  <si>
    <t>つか柱</t>
  </si>
  <si>
    <t>押さえパイプ間隔</t>
  </si>
  <si>
    <t>（１）足場板</t>
  </si>
  <si>
    <t>重　　量</t>
  </si>
  <si>
    <t>断面二次ﾓｰﾒﾝﾄ</t>
  </si>
  <si>
    <t>断面係数</t>
  </si>
  <si>
    <t>ヤング係数</t>
  </si>
  <si>
    <t>許容応力</t>
  </si>
  <si>
    <t>σa＝</t>
  </si>
  <si>
    <t>（２）足場パイプ</t>
  </si>
  <si>
    <t>回転半径</t>
  </si>
  <si>
    <t>断 面 積</t>
  </si>
  <si>
    <t>（４）クランプ（緊結金具）</t>
  </si>
  <si>
    <t>Ｗ＝</t>
  </si>
  <si>
    <t>①　変化量が10mm以下であること</t>
  </si>
  <si>
    <t>②　最大荷重は次の値以上であること</t>
  </si>
  <si>
    <t>　 径</t>
  </si>
  <si>
    <t>φ＝</t>
  </si>
  <si>
    <t>mm</t>
  </si>
  <si>
    <t>Ａ＝</t>
  </si>
  <si>
    <t>一本の引張強さ</t>
  </si>
  <si>
    <t>Ｔa＝</t>
  </si>
  <si>
    <t>t = 12</t>
  </si>
  <si>
    <t>準拠図書　：</t>
  </si>
  <si>
    <t>１</t>
  </si>
  <si>
    <t>回転　　半径</t>
  </si>
  <si>
    <t>Ｗ ＝</t>
  </si>
  <si>
    <t>N</t>
  </si>
  <si>
    <t>Ｉ ＝</t>
  </si>
  <si>
    <t>N/m</t>
  </si>
  <si>
    <r>
      <t>mm</t>
    </r>
    <r>
      <rPr>
        <vertAlign val="superscript"/>
        <sz val="11"/>
        <rFont val="ＭＳ Ｐ明朝"/>
        <family val="1"/>
      </rPr>
      <t>4</t>
    </r>
  </si>
  <si>
    <r>
      <t>mm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</si>
  <si>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1"/>
        <rFont val="ＭＳ Ｐ明朝"/>
        <family val="1"/>
      </rPr>
      <t>2</t>
    </r>
  </si>
  <si>
    <t>mm</t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</si>
  <si>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</si>
  <si>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</si>
  <si>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φ48.6×2.4(STK500)</t>
  </si>
  <si>
    <t>Ｅ ＝</t>
  </si>
  <si>
    <t>□60×2.3(STKR400)</t>
  </si>
  <si>
    <t>□75×3.2(STKR400)</t>
  </si>
  <si>
    <t>□100×3.2(STKR400)</t>
  </si>
  <si>
    <t>□60×2.3(STKR490)</t>
  </si>
  <si>
    <t>□75×3.2(STKR490)</t>
  </si>
  <si>
    <t>□100×3.2(STKR490)</t>
  </si>
  <si>
    <t>Ｗ ＝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</si>
  <si>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</si>
  <si>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</si>
  <si>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</si>
  <si>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</si>
  <si>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１</t>
  </si>
  <si>
    <t>Ｅ ＝</t>
  </si>
  <si>
    <r>
      <t>N/mm</t>
    </r>
    <r>
      <rPr>
        <vertAlign val="superscript"/>
        <sz val="11"/>
        <rFont val="ＭＳ Ｐ明朝"/>
        <family val="1"/>
      </rPr>
      <t>2</t>
    </r>
  </si>
  <si>
    <r>
      <t>N/m</t>
    </r>
    <r>
      <rPr>
        <vertAlign val="superscript"/>
        <sz val="10"/>
        <rFont val="ＭＳ Ｐ明朝"/>
        <family val="1"/>
      </rPr>
      <t>2</t>
    </r>
  </si>
  <si>
    <r>
      <t>mm</t>
    </r>
    <r>
      <rPr>
        <vertAlign val="superscript"/>
        <sz val="10"/>
        <rFont val="ＭＳ Ｐ明朝"/>
        <family val="1"/>
      </rPr>
      <t>4</t>
    </r>
  </si>
  <si>
    <r>
      <t>mm</t>
    </r>
    <r>
      <rPr>
        <vertAlign val="superscript"/>
        <sz val="10"/>
        <rFont val="ＭＳ Ｐ明朝"/>
        <family val="1"/>
      </rPr>
      <t>2</t>
    </r>
  </si>
  <si>
    <r>
      <t>N/mm</t>
    </r>
    <r>
      <rPr>
        <vertAlign val="superscript"/>
        <sz val="10"/>
        <rFont val="ＭＳ Ｐ明朝"/>
        <family val="1"/>
      </rPr>
      <t>2</t>
    </r>
  </si>
  <si>
    <t>ｒ ＝</t>
  </si>
  <si>
    <t>Ａ ＝</t>
  </si>
  <si>
    <r>
      <t>mm</t>
    </r>
    <r>
      <rPr>
        <vertAlign val="superscript"/>
        <sz val="11"/>
        <rFont val="ＭＳ Ｐ明朝"/>
        <family val="1"/>
      </rPr>
      <t>2</t>
    </r>
  </si>
  <si>
    <t>２）おやご</t>
  </si>
  <si>
    <t>Ｗ ＝</t>
  </si>
  <si>
    <t>N/m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</si>
  <si>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</si>
  <si>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</si>
  <si>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</si>
  <si>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</si>
  <si>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Ｅ ＝</t>
  </si>
  <si>
    <r>
      <t>N/mm</t>
    </r>
    <r>
      <rPr>
        <vertAlign val="superscript"/>
        <sz val="11"/>
        <rFont val="ＭＳ Ｐ明朝"/>
        <family val="1"/>
      </rPr>
      <t>2</t>
    </r>
  </si>
  <si>
    <t>ｒ ＝</t>
  </si>
  <si>
    <t>mm</t>
  </si>
  <si>
    <t>Ａ ＝</t>
  </si>
  <si>
    <r>
      <t>mm</t>
    </r>
    <r>
      <rPr>
        <vertAlign val="superscript"/>
        <sz val="11"/>
        <rFont val="ＭＳ Ｐ明朝"/>
        <family val="1"/>
      </rPr>
      <t>2</t>
    </r>
  </si>
  <si>
    <t>１</t>
  </si>
  <si>
    <t>（３）吊りチェーン</t>
  </si>
  <si>
    <t>mm</t>
  </si>
  <si>
    <t>N</t>
  </si>
  <si>
    <t>１）主体足場</t>
  </si>
  <si>
    <t>計算書中に記載</t>
  </si>
  <si>
    <t>２）朝顔</t>
  </si>
  <si>
    <t>N</t>
  </si>
  <si>
    <t>許容耐力</t>
  </si>
  <si>
    <t>N</t>
  </si>
  <si>
    <t>引張り試験性能</t>
  </si>
  <si>
    <t>KN</t>
  </si>
  <si>
    <t>（５）なまし鉄線</t>
  </si>
  <si>
    <t>10番線</t>
  </si>
  <si>
    <r>
      <t>mm</t>
    </r>
    <r>
      <rPr>
        <vertAlign val="superscript"/>
        <sz val="11"/>
        <rFont val="ＭＳ Ｐ明朝"/>
        <family val="1"/>
      </rPr>
      <t>2</t>
    </r>
  </si>
  <si>
    <t>～</t>
  </si>
  <si>
    <t>なまし鉄線</t>
  </si>
  <si>
    <t>引張強さ</t>
  </si>
  <si>
    <t>　径　mm （番）</t>
  </si>
  <si>
    <t>mm</t>
  </si>
  <si>
    <t>N/m</t>
  </si>
  <si>
    <r>
      <t>mm</t>
    </r>
    <r>
      <rPr>
        <vertAlign val="superscript"/>
        <sz val="11"/>
        <rFont val="ＭＳ Ｐ明朝"/>
        <family val="1"/>
      </rPr>
      <t>2</t>
    </r>
  </si>
  <si>
    <t>N</t>
  </si>
  <si>
    <t>（６）合板</t>
  </si>
  <si>
    <t>板厚</t>
  </si>
  <si>
    <r>
      <t>N/m</t>
    </r>
    <r>
      <rPr>
        <vertAlign val="superscript"/>
        <sz val="11"/>
        <rFont val="ＭＳ Ｐ明朝"/>
        <family val="1"/>
      </rPr>
      <t>2</t>
    </r>
  </si>
  <si>
    <t>8番線</t>
  </si>
  <si>
    <t>足場工・防護工の施工計画の手引き（鋼橋架設工事用）他</t>
  </si>
  <si>
    <t>合　　板</t>
  </si>
  <si>
    <t>平成１６年２月改訂版　社団法人日本橋梁建設協会</t>
  </si>
  <si>
    <t>　板厚　　mm</t>
  </si>
  <si>
    <r>
      <t>N/m</t>
    </r>
    <r>
      <rPr>
        <vertAlign val="superscript"/>
        <sz val="11"/>
        <rFont val="ＭＳ Ｐ明朝"/>
        <family val="1"/>
      </rPr>
      <t>2</t>
    </r>
  </si>
  <si>
    <t>t = 12</t>
  </si>
  <si>
    <t xml:space="preserve">t = </t>
  </si>
  <si>
    <t>有り</t>
  </si>
  <si>
    <t>無し</t>
  </si>
  <si>
    <t>やらず有無　：</t>
  </si>
  <si>
    <t>足場チェーン①</t>
  </si>
  <si>
    <t>＠</t>
  </si>
  <si>
    <t>２）主体足場死荷重（手摺り施工長</t>
  </si>
  <si>
    <t>③風荷重：p</t>
  </si>
  <si>
    <r>
      <t>p1=  0.615 ・V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・C1=</t>
    </r>
  </si>
  <si>
    <r>
      <t>p2=  0.615 ・V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・C2 =</t>
    </r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</si>
  <si>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×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=</t>
    </r>
  </si>
  <si>
    <r>
      <t>h</t>
    </r>
    <r>
      <rPr>
        <vertAlign val="subscript"/>
        <sz val="11"/>
        <rFont val="ＭＳ Ｐ明朝"/>
        <family val="1"/>
      </rPr>
      <t>1</t>
    </r>
  </si>
  <si>
    <t>m</t>
  </si>
  <si>
    <r>
      <t>cosθ ・ h</t>
    </r>
    <r>
      <rPr>
        <vertAlign val="subscript"/>
        <sz val="11"/>
        <rFont val="ＭＳ Ｐ明朝"/>
        <family val="1"/>
      </rPr>
      <t>R</t>
    </r>
  </si>
  <si>
    <t>b =</t>
  </si>
  <si>
    <t>やらず</t>
  </si>
  <si>
    <t>＠</t>
  </si>
  <si>
    <t>a =</t>
  </si>
  <si>
    <r>
      <t>h</t>
    </r>
    <r>
      <rPr>
        <vertAlign val="subscript"/>
        <sz val="10"/>
        <color indexed="12"/>
        <rFont val="ＭＳ Ｐ明朝"/>
        <family val="1"/>
      </rPr>
      <t>2</t>
    </r>
    <r>
      <rPr>
        <sz val="10"/>
        <color indexed="12"/>
        <rFont val="ＭＳ Ｐ明朝"/>
        <family val="1"/>
      </rPr>
      <t xml:space="preserve"> =</t>
    </r>
  </si>
  <si>
    <r>
      <t>h</t>
    </r>
    <r>
      <rPr>
        <vertAlign val="subscript"/>
        <sz val="10"/>
        <color indexed="12"/>
        <rFont val="ＭＳ Ｐ明朝"/>
        <family val="1"/>
      </rPr>
      <t>1</t>
    </r>
    <r>
      <rPr>
        <sz val="10"/>
        <color indexed="12"/>
        <rFont val="ＭＳ Ｐ明朝"/>
        <family val="1"/>
      </rPr>
      <t xml:space="preserve"> =</t>
    </r>
  </si>
  <si>
    <t>たて地</t>
  </si>
  <si>
    <t>たて地パイプ長</t>
  </si>
  <si>
    <t>福岡県福岡市</t>
  </si>
  <si>
    <t>なし</t>
  </si>
  <si>
    <t>P</t>
  </si>
  <si>
    <t>３）朝顔死荷重（手摺り施工長</t>
  </si>
  <si>
    <t xml:space="preserve">P  ・ h  </t>
  </si>
  <si>
    <t>やらず ＠</t>
  </si>
  <si>
    <r>
      <t>分布荷重　　w  = 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 =</t>
    </r>
  </si>
  <si>
    <r>
      <t>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=</t>
    </r>
  </si>
  <si>
    <r>
      <t>h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=</t>
    </r>
  </si>
  <si>
    <t>または</t>
  </si>
  <si>
    <r>
      <t>分布荷重　　w  = 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/2 + p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 h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/2 =</t>
    </r>
  </si>
  <si>
    <t>+</t>
  </si>
  <si>
    <t>h=</t>
  </si>
  <si>
    <t>チェーン取付点からの片持ち梁として照査する。</t>
  </si>
  <si>
    <t>w</t>
  </si>
  <si>
    <r>
      <t>w  =   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 xml:space="preserve"> ・ b   =</t>
    </r>
  </si>
  <si>
    <t>受圧面積</t>
  </si>
  <si>
    <t>N ・m</t>
  </si>
  <si>
    <r>
      <t>w ・ h</t>
    </r>
    <r>
      <rPr>
        <vertAlign val="superscript"/>
        <sz val="11"/>
        <rFont val="ＭＳ Ｐ明朝"/>
        <family val="1"/>
      </rPr>
      <t>2</t>
    </r>
  </si>
  <si>
    <t>H</t>
  </si>
  <si>
    <r>
      <t>w</t>
    </r>
    <r>
      <rPr>
        <vertAlign val="subscript"/>
        <sz val="10"/>
        <rFont val="ＭＳ Ｐ明朝"/>
        <family val="1"/>
      </rPr>
      <t>2</t>
    </r>
  </si>
  <si>
    <r>
      <t>w</t>
    </r>
    <r>
      <rPr>
        <vertAlign val="subscript"/>
        <sz val="10"/>
        <rFont val="ＭＳ Ｐ明朝"/>
        <family val="1"/>
      </rPr>
      <t>1</t>
    </r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</si>
  <si>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 = 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b   =</t>
    </r>
  </si>
  <si>
    <r>
      <t>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 =   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 xml:space="preserve"> ・ b   =</t>
    </r>
  </si>
  <si>
    <t>布の本数</t>
  </si>
  <si>
    <t>１）ころばし・朝顔パイプ・その他</t>
  </si>
  <si>
    <t>＠</t>
  </si>
  <si>
    <t>＠</t>
  </si>
  <si>
    <t>１人の作業員が物を持っていく足場</t>
  </si>
  <si>
    <t>運搬物重さ</t>
  </si>
  <si>
    <t>２人の作業員がボルトの本締め等の作業をする足場</t>
  </si>
  <si>
    <t>小道具重さ</t>
  </si>
  <si>
    <t>作　業　員　数</t>
  </si>
  <si>
    <t>作　業　員　重　さ</t>
  </si>
  <si>
    <t>衝　撃　荷　重　（２０％）</t>
  </si>
  <si>
    <t>計</t>
  </si>
  <si>
    <t>N</t>
  </si>
  <si>
    <t>1．足場工使用材一覧</t>
  </si>
  <si>
    <t>2.概略断面図</t>
  </si>
  <si>
    <t>3.荷　　重</t>
  </si>
  <si>
    <t>4.足場板</t>
  </si>
  <si>
    <t>5.ころばし</t>
  </si>
  <si>
    <t>6.おやご</t>
  </si>
  <si>
    <t>7.足場チェーン</t>
  </si>
  <si>
    <t>8.垂直朝顔（板張り＋ネット張り）</t>
  </si>
  <si>
    <t>9.朝顔チェーン①</t>
  </si>
  <si>
    <t>10.朝顔チェーン②</t>
  </si>
  <si>
    <t>　11.布</t>
  </si>
  <si>
    <t>12.　建地</t>
  </si>
  <si>
    <t>13.　やらず</t>
  </si>
  <si>
    <t>赤い文字を変更する</t>
  </si>
  <si>
    <t>□60×2.3(STKR400)</t>
  </si>
  <si>
    <t>（７）吊り用チン</t>
  </si>
  <si>
    <t>300以上</t>
  </si>
  <si>
    <t>曲げ半径(ｒ)=1φ</t>
  </si>
  <si>
    <t>ｒ</t>
  </si>
  <si>
    <t>曲げ加工は加熱せず</t>
  </si>
  <si>
    <t>溶接</t>
  </si>
  <si>
    <t>に行なう</t>
  </si>
  <si>
    <t>265以下</t>
  </si>
  <si>
    <t>材質</t>
  </si>
  <si>
    <t>Ta =</t>
  </si>
  <si>
    <t>N</t>
  </si>
  <si>
    <t>降伏耐力</t>
  </si>
  <si>
    <t>13.　吊り用チン</t>
  </si>
  <si>
    <t>SR235</t>
  </si>
  <si>
    <t>SR235</t>
  </si>
  <si>
    <t>SD295</t>
  </si>
  <si>
    <t>SD345</t>
  </si>
  <si>
    <t>D16</t>
  </si>
  <si>
    <t>D22</t>
  </si>
  <si>
    <t>D25</t>
  </si>
  <si>
    <t>本数</t>
  </si>
  <si>
    <t>D19</t>
  </si>
  <si>
    <t>吊り用チンに掛かる荷重</t>
  </si>
  <si>
    <t>朝顔チェーン②のみ</t>
  </si>
  <si>
    <t>D16</t>
  </si>
  <si>
    <t>(９.朝顔チェーン参照）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</si>
</sst>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_);[Red]\(0.000\)"/>
    <numFmt numFmtId="197" formatCode="0.00_);[Red]\(0.00\)"/>
    <numFmt numFmtId="198" formatCode="0_);[Red]\(0\)"/>
    <numFmt numFmtId="199" formatCode="0_ "/>
    <numFmt numFmtId="200" formatCode="#,##0_ "/>
    <numFmt numFmtId="201" formatCode="#,##0_);[Red]\(#,##0\)"/>
    <numFmt numFmtId="202" formatCode="#,##0.0_);[Red]\(#,##0.0\)"/>
    <numFmt numFmtId="203" formatCode="#,##0.0_ "/>
    <numFmt numFmtId="204" formatCode="0.0_ "/>
    <numFmt numFmtId="205" formatCode="#,##0.000_);[Red]\(#,##0.000\)"/>
    <numFmt numFmtId="206" formatCode="0.0000000_);[Red]\(0.0000000\)"/>
    <numFmt numFmtId="207" formatCode="0.00000_);[Red]\(0.00000\)"/>
    <numFmt numFmtId="208" formatCode="0.0_);[Red]\(0.0\)"/>
    <numFmt numFmtId="209" formatCode="#,##0_);\(#,##0\)"/>
    <numFmt numFmtId="210" formatCode="0.00_ "/>
    <numFmt numFmtId="211" formatCode="0.000_ "/>
    <numFmt numFmtId="212" formatCode="#,##0.00_);[Red]\(#,##0.00\)"/>
    <numFmt numFmtId="213" formatCode="#,##0.00_ "/>
    <numFmt numFmtId="214" formatCode="#,##0.0000_ "/>
    <numFmt numFmtId="215" formatCode="#,##0.0000_);[Red]\(#,##0.0000\)"/>
    <numFmt numFmtId="216" formatCode="0.00000_ "/>
    <numFmt numFmtId="217" formatCode="#,##0.000_ "/>
    <numFmt numFmtId="218" formatCode="0.0000_);[Red]\(0.00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;[Red]\-#,##0.0"/>
    <numFmt numFmtId="224" formatCode="#,##0.000;[Red]\-#,##0.000"/>
    <numFmt numFmtId="225" formatCode="0;_怀"/>
    <numFmt numFmtId="226" formatCode="0&quot;人&quot;"/>
    <numFmt numFmtId="227" formatCode="0&quot;kg&quot;"/>
    <numFmt numFmtId="228" formatCode="0&quot;N&quot;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10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sz val="11"/>
      <color indexed="10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11"/>
      <color indexed="12"/>
      <name val="ＭＳ Ｐ明朝"/>
      <family val="1"/>
    </font>
    <font>
      <sz val="7"/>
      <name val="ＭＳ Ｐ明朝"/>
      <family val="1"/>
    </font>
    <font>
      <sz val="18"/>
      <color indexed="10"/>
      <name val="ＭＳ Ｐ明朝"/>
      <family val="1"/>
    </font>
    <font>
      <vertAlign val="superscript"/>
      <sz val="11"/>
      <color indexed="12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6"/>
      <color indexed="10"/>
      <name val="ＭＳ Ｐ明朝"/>
      <family val="1"/>
    </font>
    <font>
      <vertAlign val="subscript"/>
      <sz val="11"/>
      <name val="ＭＳ Ｐ明朝"/>
      <family val="1"/>
    </font>
    <font>
      <u val="single"/>
      <sz val="11"/>
      <color indexed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25"/>
      <color indexed="36"/>
      <name val="明朝"/>
      <family val="1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6"/>
      <color indexed="12"/>
      <name val="ＭＳ Ｐゴシック"/>
      <family val="3"/>
    </font>
    <font>
      <sz val="16"/>
      <color indexed="10"/>
      <name val="ＭＳ Ｐゴシック"/>
      <family val="3"/>
    </font>
    <font>
      <sz val="10"/>
      <color indexed="10"/>
      <name val="ＭＳ Ｐ明朝"/>
      <family val="1"/>
    </font>
    <font>
      <sz val="6"/>
      <name val="明朝"/>
      <family val="1"/>
    </font>
    <font>
      <sz val="10"/>
      <color indexed="12"/>
      <name val="ＭＳ Ｐ明朝"/>
      <family val="1"/>
    </font>
    <font>
      <sz val="10"/>
      <color indexed="8"/>
      <name val="ＭＳ Ｐ明朝"/>
      <family val="1"/>
    </font>
    <font>
      <vertAlign val="subscript"/>
      <sz val="10"/>
      <name val="ＭＳ Ｐ明朝"/>
      <family val="1"/>
    </font>
    <font>
      <sz val="11"/>
      <color indexed="12"/>
      <name val="明朝"/>
      <family val="1"/>
    </font>
    <font>
      <sz val="11"/>
      <color indexed="8"/>
      <name val="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vertAlign val="subscript"/>
      <sz val="10"/>
      <color indexed="12"/>
      <name val="ＭＳ Ｐ明朝"/>
      <family val="1"/>
    </font>
    <font>
      <sz val="10"/>
      <name val="明朝"/>
      <family val="1"/>
    </font>
    <font>
      <sz val="10"/>
      <color indexed="10"/>
      <name val="明朝"/>
      <family val="1"/>
    </font>
    <font>
      <sz val="7"/>
      <name val="ＭＳ Ｐゴシック"/>
      <family val="3"/>
    </font>
    <font>
      <b/>
      <sz val="14"/>
      <name val="ＭＳ Ｐ明朝"/>
      <family val="1"/>
    </font>
    <font>
      <b/>
      <sz val="16"/>
      <color indexed="10"/>
      <name val="ＭＳ Ｐゴシック"/>
      <family val="3"/>
    </font>
    <font>
      <sz val="9"/>
      <name val="明朝"/>
      <family val="1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>
      <alignment vertical="center"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</cellStyleXfs>
  <cellXfs count="903">
    <xf numFmtId="0" fontId="0" fillId="0" borderId="0" xfId="0" applyAlignment="1">
      <alignment/>
    </xf>
    <xf numFmtId="184" fontId="4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00" fontId="0" fillId="0" borderId="0" xfId="0" applyNumberFormat="1" applyBorder="1" applyAlignment="1" applyProtection="1">
      <alignment horizontal="center" vertical="center"/>
      <protection locked="0"/>
    </xf>
    <xf numFmtId="203" fontId="0" fillId="0" borderId="0" xfId="0" applyNumberForma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/>
    </xf>
    <xf numFmtId="201" fontId="14" fillId="0" borderId="0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201" fontId="14" fillId="0" borderId="0" xfId="0" applyNumberFormat="1" applyFont="1" applyBorder="1" applyAlignment="1" applyProtection="1">
      <alignment vertical="center"/>
      <protection/>
    </xf>
    <xf numFmtId="1" fontId="14" fillId="0" borderId="1" xfId="0" applyNumberFormat="1" applyFont="1" applyBorder="1" applyAlignment="1" applyProtection="1">
      <alignment vertical="center"/>
      <protection/>
    </xf>
    <xf numFmtId="1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7" fillId="0" borderId="1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" fontId="14" fillId="0" borderId="0" xfId="0" applyNumberFormat="1" applyFont="1" applyBorder="1" applyAlignment="1" applyProtection="1">
      <alignment vertical="center"/>
      <protection/>
    </xf>
    <xf numFmtId="1" fontId="14" fillId="0" borderId="0" xfId="0" applyNumberFormat="1" applyFont="1" applyBorder="1" applyAlignment="1" applyProtection="1" quotePrefix="1">
      <alignment horizontal="center" vertical="center"/>
      <protection/>
    </xf>
    <xf numFmtId="184" fontId="14" fillId="0" borderId="0" xfId="0" applyNumberFormat="1" applyFont="1" applyBorder="1" applyAlignment="1" applyProtection="1" quotePrefix="1">
      <alignment horizontal="right" vertical="center"/>
      <protection/>
    </xf>
    <xf numFmtId="2" fontId="14" fillId="0" borderId="0" xfId="0" applyNumberFormat="1" applyFont="1" applyBorder="1" applyAlignment="1" applyProtection="1">
      <alignment horizontal="right" vertical="center"/>
      <protection/>
    </xf>
    <xf numFmtId="184" fontId="14" fillId="0" borderId="0" xfId="0" applyNumberFormat="1" applyFont="1" applyBorder="1" applyAlignment="1" applyProtection="1">
      <alignment vertical="center"/>
      <protection/>
    </xf>
    <xf numFmtId="201" fontId="1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0" borderId="0" xfId="0" applyFont="1" applyAlignment="1" applyProtection="1" quotePrefix="1">
      <alignment horizont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 quotePrefix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204" fontId="7" fillId="0" borderId="5" xfId="0" applyNumberFormat="1" applyFont="1" applyBorder="1" applyAlignment="1" applyProtection="1">
      <alignment vertical="center"/>
      <protection/>
    </xf>
    <xf numFmtId="200" fontId="7" fillId="0" borderId="6" xfId="0" applyNumberFormat="1" applyFont="1" applyBorder="1" applyAlignment="1" applyProtection="1">
      <alignment horizontal="center" vertical="center"/>
      <protection/>
    </xf>
    <xf numFmtId="200" fontId="7" fillId="0" borderId="6" xfId="0" applyNumberFormat="1" applyFont="1" applyBorder="1" applyAlignment="1" applyProtection="1">
      <alignment vertical="center"/>
      <protection/>
    </xf>
    <xf numFmtId="200" fontId="7" fillId="0" borderId="7" xfId="0" applyNumberFormat="1" applyFont="1" applyBorder="1" applyAlignment="1" applyProtection="1">
      <alignment horizontal="center" vertical="center"/>
      <protection/>
    </xf>
    <xf numFmtId="203" fontId="7" fillId="0" borderId="6" xfId="0" applyNumberFormat="1" applyFont="1" applyBorder="1" applyAlignment="1" applyProtection="1">
      <alignment horizontal="center" vertical="center"/>
      <protection/>
    </xf>
    <xf numFmtId="199" fontId="7" fillId="0" borderId="8" xfId="0" applyNumberFormat="1" applyFont="1" applyBorder="1" applyAlignment="1" applyProtection="1">
      <alignment vertical="center"/>
      <protection/>
    </xf>
    <xf numFmtId="200" fontId="7" fillId="0" borderId="9" xfId="0" applyNumberFormat="1" applyFont="1" applyBorder="1" applyAlignment="1" applyProtection="1">
      <alignment horizontal="center" vertical="center"/>
      <protection/>
    </xf>
    <xf numFmtId="200" fontId="7" fillId="0" borderId="9" xfId="0" applyNumberFormat="1" applyFont="1" applyBorder="1" applyAlignment="1" applyProtection="1">
      <alignment vertical="center"/>
      <protection/>
    </xf>
    <xf numFmtId="200" fontId="7" fillId="0" borderId="10" xfId="0" applyNumberFormat="1" applyFont="1" applyBorder="1" applyAlignment="1" applyProtection="1">
      <alignment horizontal="center" vertical="center"/>
      <protection/>
    </xf>
    <xf numFmtId="203" fontId="7" fillId="0" borderId="9" xfId="0" applyNumberFormat="1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/>
      <protection/>
    </xf>
    <xf numFmtId="0" fontId="10" fillId="0" borderId="2" xfId="0" applyNumberFormat="1" applyFont="1" applyBorder="1" applyAlignment="1" applyProtection="1">
      <alignment/>
      <protection/>
    </xf>
    <xf numFmtId="204" fontId="14" fillId="0" borderId="2" xfId="0" applyNumberFormat="1" applyFont="1" applyBorder="1" applyAlignment="1" applyProtection="1">
      <alignment/>
      <protection/>
    </xf>
    <xf numFmtId="199" fontId="7" fillId="0" borderId="11" xfId="0" applyNumberFormat="1" applyFont="1" applyBorder="1" applyAlignment="1" applyProtection="1">
      <alignment vertical="center"/>
      <protection/>
    </xf>
    <xf numFmtId="200" fontId="7" fillId="0" borderId="12" xfId="0" applyNumberFormat="1" applyFont="1" applyBorder="1" applyAlignment="1" applyProtection="1">
      <alignment horizontal="center" vertical="center"/>
      <protection/>
    </xf>
    <xf numFmtId="200" fontId="7" fillId="0" borderId="12" xfId="0" applyNumberFormat="1" applyFont="1" applyBorder="1" applyAlignment="1" applyProtection="1">
      <alignment vertical="center"/>
      <protection/>
    </xf>
    <xf numFmtId="200" fontId="7" fillId="0" borderId="13" xfId="0" applyNumberFormat="1" applyFont="1" applyBorder="1" applyAlignment="1" applyProtection="1">
      <alignment horizontal="center" vertical="center"/>
      <protection/>
    </xf>
    <xf numFmtId="203" fontId="7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12" fillId="0" borderId="14" xfId="0" applyFont="1" applyBorder="1" applyAlignment="1" applyProtection="1">
      <alignment horizontal="centerContinuous"/>
      <protection/>
    </xf>
    <xf numFmtId="0" fontId="12" fillId="0" borderId="15" xfId="0" applyFont="1" applyBorder="1" applyAlignment="1" applyProtection="1">
      <alignment horizontal="centerContinuous"/>
      <protection/>
    </xf>
    <xf numFmtId="0" fontId="12" fillId="0" borderId="16" xfId="0" applyFont="1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Continuous" vertical="center"/>
      <protection/>
    </xf>
    <xf numFmtId="0" fontId="12" fillId="0" borderId="18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Continuous" vertical="center"/>
      <protection/>
    </xf>
    <xf numFmtId="0" fontId="12" fillId="0" borderId="19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Continuous" vertical="top"/>
      <protection/>
    </xf>
    <xf numFmtId="0" fontId="12" fillId="0" borderId="1" xfId="0" applyFont="1" applyBorder="1" applyAlignment="1" applyProtection="1">
      <alignment horizontal="centerContinuous" vertical="top"/>
      <protection/>
    </xf>
    <xf numFmtId="0" fontId="12" fillId="0" borderId="3" xfId="0" applyFont="1" applyBorder="1" applyAlignment="1" applyProtection="1">
      <alignment horizontal="center" vertical="top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Continuous" vertical="top"/>
      <protection/>
    </xf>
    <xf numFmtId="49" fontId="7" fillId="0" borderId="7" xfId="0" applyNumberFormat="1" applyFont="1" applyBorder="1" applyAlignment="1" applyProtection="1">
      <alignment horizontal="centerContinuous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200" fontId="7" fillId="0" borderId="7" xfId="0" applyNumberFormat="1" applyFont="1" applyBorder="1" applyAlignment="1" applyProtection="1">
      <alignment horizontal="centerContinuous" vertical="center"/>
      <protection/>
    </xf>
    <xf numFmtId="0" fontId="7" fillId="0" borderId="7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vertical="center"/>
      <protection/>
    </xf>
    <xf numFmtId="184" fontId="10" fillId="0" borderId="0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horizontal="centerContinuous"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200" fontId="7" fillId="0" borderId="10" xfId="0" applyNumberFormat="1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 quotePrefix="1">
      <alignment vertical="center"/>
      <protection/>
    </xf>
    <xf numFmtId="49" fontId="7" fillId="0" borderId="13" xfId="0" applyNumberFormat="1" applyFont="1" applyBorder="1" applyAlignment="1" applyProtection="1">
      <alignment horizontal="centerContinuous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200" fontId="7" fillId="0" borderId="13" xfId="0" applyNumberFormat="1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200" fontId="7" fillId="0" borderId="0" xfId="0" applyNumberFormat="1" applyFont="1" applyBorder="1" applyAlignment="1" applyProtection="1">
      <alignment vertical="center"/>
      <protection/>
    </xf>
    <xf numFmtId="198" fontId="7" fillId="0" borderId="0" xfId="0" applyNumberFormat="1" applyFont="1" applyBorder="1" applyAlignment="1" applyProtection="1">
      <alignment vertical="center"/>
      <protection/>
    </xf>
    <xf numFmtId="9" fontId="7" fillId="0" borderId="0" xfId="0" applyNumberFormat="1" applyFont="1" applyBorder="1" applyAlignment="1" applyProtection="1">
      <alignment vertical="center"/>
      <protection/>
    </xf>
    <xf numFmtId="9" fontId="7" fillId="0" borderId="0" xfId="0" applyNumberFormat="1" applyFont="1" applyBorder="1" applyAlignment="1" applyProtection="1" quotePrefix="1">
      <alignment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 quotePrefix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 quotePrefix="1">
      <alignment horizontal="righ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5" fontId="14" fillId="0" borderId="0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 applyProtection="1" quotePrefix="1">
      <alignment horizontal="left" vertical="center"/>
      <protection/>
    </xf>
    <xf numFmtId="0" fontId="14" fillId="0" borderId="16" xfId="0" applyFont="1" applyBorder="1" applyAlignment="1" applyProtection="1">
      <alignment vertical="center"/>
      <protection/>
    </xf>
    <xf numFmtId="184" fontId="14" fillId="0" borderId="16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185" fontId="14" fillId="0" borderId="16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 quotePrefix="1">
      <alignment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201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20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" fontId="14" fillId="0" borderId="0" xfId="0" applyNumberFormat="1" applyFont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7" fillId="0" borderId="3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49" fontId="22" fillId="0" borderId="0" xfId="16" applyNumberFormat="1" applyFont="1" applyAlignment="1" applyProtection="1" quotePrefix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01" fontId="10" fillId="0" borderId="0" xfId="0" applyNumberFormat="1" applyFont="1" applyAlignment="1" applyProtection="1" quotePrefix="1">
      <alignment horizontal="center"/>
      <protection locked="0"/>
    </xf>
    <xf numFmtId="201" fontId="7" fillId="0" borderId="0" xfId="0" applyNumberFormat="1" applyFont="1" applyAlignment="1" applyProtection="1">
      <alignment horizontal="center"/>
      <protection/>
    </xf>
    <xf numFmtId="201" fontId="7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204" fontId="14" fillId="0" borderId="0" xfId="0" applyNumberFormat="1" applyFont="1" applyBorder="1" applyAlignment="1" applyProtection="1">
      <alignment horizontal="center" vertical="center"/>
      <protection/>
    </xf>
    <xf numFmtId="184" fontId="1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200" fontId="14" fillId="0" borderId="0" xfId="0" applyNumberFormat="1" applyFont="1" applyAlignment="1" applyProtection="1">
      <alignment vertical="center"/>
      <protection/>
    </xf>
    <xf numFmtId="200" fontId="14" fillId="0" borderId="0" xfId="0" applyNumberFormat="1" applyFont="1" applyBorder="1" applyAlignment="1" applyProtection="1">
      <alignment horizontal="center" vertical="center"/>
      <protection/>
    </xf>
    <xf numFmtId="200" fontId="14" fillId="0" borderId="0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 applyProtection="1" quotePrefix="1">
      <alignment horizontal="center" vertical="center"/>
      <protection/>
    </xf>
    <xf numFmtId="201" fontId="7" fillId="0" borderId="0" xfId="0" applyNumberFormat="1" applyFont="1" applyAlignment="1" applyProtection="1">
      <alignment vertical="center"/>
      <protection/>
    </xf>
    <xf numFmtId="200" fontId="14" fillId="0" borderId="16" xfId="0" applyNumberFormat="1" applyFont="1" applyBorder="1" applyAlignment="1" applyProtection="1">
      <alignment horizontal="center"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/>
    </xf>
    <xf numFmtId="0" fontId="29" fillId="0" borderId="0" xfId="22" applyFont="1" applyBorder="1" applyAlignment="1">
      <alignment vertical="center"/>
      <protection/>
    </xf>
    <xf numFmtId="0" fontId="24" fillId="0" borderId="0" xfId="22" applyBorder="1" applyAlignment="1">
      <alignment vertical="center"/>
      <protection/>
    </xf>
    <xf numFmtId="0" fontId="24" fillId="0" borderId="0" xfId="22" applyFont="1" applyBorder="1" applyAlignment="1">
      <alignment vertical="center"/>
      <protection/>
    </xf>
    <xf numFmtId="0" fontId="30" fillId="0" borderId="0" xfId="22" applyFont="1" applyBorder="1" applyAlignment="1">
      <alignment vertical="center"/>
      <protection/>
    </xf>
    <xf numFmtId="0" fontId="31" fillId="0" borderId="32" xfId="22" applyFont="1" applyBorder="1" applyAlignment="1">
      <alignment horizontal="left" vertical="center" indent="1"/>
      <protection/>
    </xf>
    <xf numFmtId="0" fontId="26" fillId="0" borderId="0" xfId="22" applyFont="1" applyAlignment="1">
      <alignment horizontal="center" vertical="center"/>
      <protection/>
    </xf>
    <xf numFmtId="0" fontId="24" fillId="0" borderId="0" xfId="22" applyFont="1" applyAlignment="1">
      <alignment horizontal="center" vertical="center"/>
      <protection/>
    </xf>
    <xf numFmtId="0" fontId="24" fillId="0" borderId="0" xfId="22" applyFont="1" applyAlignment="1">
      <alignment/>
      <protection/>
    </xf>
    <xf numFmtId="0" fontId="26" fillId="0" borderId="33" xfId="22" applyFont="1" applyBorder="1" applyAlignment="1">
      <alignment horizontal="center" vertical="center"/>
      <protection/>
    </xf>
    <xf numFmtId="0" fontId="26" fillId="0" borderId="1" xfId="22" applyFont="1" applyBorder="1" applyAlignment="1">
      <alignment horizontal="center" vertical="center"/>
      <protection/>
    </xf>
    <xf numFmtId="0" fontId="26" fillId="0" borderId="34" xfId="22" applyFont="1" applyBorder="1" applyAlignment="1">
      <alignment vertical="center"/>
      <protection/>
    </xf>
    <xf numFmtId="0" fontId="26" fillId="0" borderId="0" xfId="22" applyFont="1" applyBorder="1" applyAlignment="1">
      <alignment vertical="center"/>
      <protection/>
    </xf>
    <xf numFmtId="0" fontId="26" fillId="0" borderId="0" xfId="22" applyFont="1" applyAlignment="1">
      <alignment vertical="center"/>
      <protection/>
    </xf>
    <xf numFmtId="0" fontId="26" fillId="0" borderId="4" xfId="22" applyFont="1" applyBorder="1" applyAlignment="1">
      <alignment vertical="center"/>
      <protection/>
    </xf>
    <xf numFmtId="0" fontId="26" fillId="0" borderId="1" xfId="22" applyFont="1" applyBorder="1" applyAlignment="1">
      <alignment vertical="center"/>
      <protection/>
    </xf>
    <xf numFmtId="0" fontId="26" fillId="0" borderId="14" xfId="22" applyFont="1" applyBorder="1" applyAlignment="1">
      <alignment vertical="center"/>
      <protection/>
    </xf>
    <xf numFmtId="0" fontId="26" fillId="0" borderId="16" xfId="22" applyFont="1" applyBorder="1" applyAlignment="1">
      <alignment vertical="center"/>
      <protection/>
    </xf>
    <xf numFmtId="0" fontId="26" fillId="0" borderId="0" xfId="22" applyFont="1" applyAlignment="1">
      <alignment horizontal="right" vertical="center"/>
      <protection/>
    </xf>
    <xf numFmtId="0" fontId="26" fillId="0" borderId="6" xfId="22" applyFont="1" applyBorder="1" applyAlignment="1">
      <alignment horizontal="center" vertical="center"/>
      <protection/>
    </xf>
    <xf numFmtId="0" fontId="26" fillId="0" borderId="18" xfId="22" applyFont="1" applyBorder="1" applyAlignment="1">
      <alignment horizontal="center" vertical="center"/>
      <protection/>
    </xf>
    <xf numFmtId="0" fontId="26" fillId="0" borderId="35" xfId="22" applyFont="1" applyBorder="1" applyAlignment="1">
      <alignment vertical="center"/>
      <protection/>
    </xf>
    <xf numFmtId="0" fontId="26" fillId="0" borderId="9" xfId="22" applyFont="1" applyBorder="1" applyAlignment="1">
      <alignment horizontal="center" vertical="center"/>
      <protection/>
    </xf>
    <xf numFmtId="0" fontId="26" fillId="0" borderId="24" xfId="22" applyFont="1" applyBorder="1" applyAlignment="1">
      <alignment horizontal="center" vertical="center"/>
      <protection/>
    </xf>
    <xf numFmtId="0" fontId="26" fillId="0" borderId="36" xfId="22" applyFont="1" applyBorder="1" applyAlignment="1">
      <alignment vertical="center"/>
      <protection/>
    </xf>
    <xf numFmtId="0" fontId="26" fillId="0" borderId="3" xfId="22" applyFont="1" applyBorder="1" applyAlignment="1">
      <alignment horizontal="center" vertical="center"/>
      <protection/>
    </xf>
    <xf numFmtId="0" fontId="26" fillId="0" borderId="12" xfId="22" applyFont="1" applyBorder="1" applyAlignment="1">
      <alignment horizontal="center" vertical="center"/>
      <protection/>
    </xf>
    <xf numFmtId="0" fontId="26" fillId="0" borderId="28" xfId="22" applyFont="1" applyBorder="1" applyAlignment="1">
      <alignment horizontal="center" vertical="center"/>
      <protection/>
    </xf>
    <xf numFmtId="0" fontId="26" fillId="0" borderId="37" xfId="22" applyFont="1" applyBorder="1" applyAlignment="1">
      <alignment vertical="center"/>
      <protection/>
    </xf>
    <xf numFmtId="0" fontId="26" fillId="0" borderId="38" xfId="22" applyFont="1" applyBorder="1" applyAlignment="1">
      <alignment vertical="center"/>
      <protection/>
    </xf>
    <xf numFmtId="0" fontId="32" fillId="0" borderId="39" xfId="22" applyFont="1" applyBorder="1" applyAlignment="1" applyProtection="1">
      <alignment horizontal="center" vertical="center"/>
      <protection locked="0"/>
    </xf>
    <xf numFmtId="0" fontId="26" fillId="2" borderId="3" xfId="22" applyFont="1" applyFill="1" applyBorder="1" applyAlignment="1">
      <alignment horizontal="center" vertical="center"/>
      <protection/>
    </xf>
    <xf numFmtId="0" fontId="26" fillId="2" borderId="1" xfId="22" applyFont="1" applyFill="1" applyBorder="1" applyAlignment="1">
      <alignment horizontal="center" vertical="center"/>
      <protection/>
    </xf>
    <xf numFmtId="0" fontId="26" fillId="2" borderId="37" xfId="22" applyFont="1" applyFill="1" applyBorder="1" applyAlignment="1">
      <alignment vertical="center"/>
      <protection/>
    </xf>
    <xf numFmtId="0" fontId="26" fillId="2" borderId="38" xfId="22" applyFont="1" applyFill="1" applyBorder="1" applyAlignment="1">
      <alignment vertical="center"/>
      <protection/>
    </xf>
    <xf numFmtId="0" fontId="26" fillId="2" borderId="1" xfId="22" applyFont="1" applyFill="1" applyBorder="1" applyAlignment="1">
      <alignment vertical="center"/>
      <protection/>
    </xf>
    <xf numFmtId="0" fontId="32" fillId="2" borderId="40" xfId="22" applyFont="1" applyFill="1" applyBorder="1" applyAlignment="1" applyProtection="1">
      <alignment horizontal="center" vertical="center"/>
      <protection locked="0"/>
    </xf>
    <xf numFmtId="0" fontId="24" fillId="0" borderId="0" xfId="22" applyBorder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33" xfId="0" applyFont="1" applyBorder="1" applyAlignment="1" applyProtection="1">
      <alignment horizontal="centerContinuous" vertical="center"/>
      <protection/>
    </xf>
    <xf numFmtId="201" fontId="33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200" fontId="33" fillId="0" borderId="0" xfId="0" applyNumberFormat="1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top"/>
      <protection/>
    </xf>
    <xf numFmtId="201" fontId="35" fillId="0" borderId="0" xfId="0" applyNumberFormat="1" applyFont="1" applyBorder="1" applyAlignment="1" applyProtection="1">
      <alignment horizontal="left" vertical="center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210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210" fontId="12" fillId="0" borderId="9" xfId="0" applyNumberFormat="1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210" fontId="12" fillId="0" borderId="12" xfId="0" applyNumberFormat="1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 horizontal="center" vertical="center"/>
      <protection/>
    </xf>
    <xf numFmtId="210" fontId="12" fillId="0" borderId="33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/>
      <protection/>
    </xf>
    <xf numFmtId="201" fontId="14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33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204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vertical="center"/>
      <protection/>
    </xf>
    <xf numFmtId="0" fontId="35" fillId="0" borderId="0" xfId="0" applyNumberFormat="1" applyFont="1" applyBorder="1" applyAlignment="1" applyProtection="1">
      <alignment vertical="center"/>
      <protection/>
    </xf>
    <xf numFmtId="204" fontId="12" fillId="0" borderId="9" xfId="0" applyNumberFormat="1" applyFont="1" applyBorder="1" applyAlignment="1" applyProtection="1">
      <alignment horizontal="center" vertical="center"/>
      <protection/>
    </xf>
    <xf numFmtId="204" fontId="7" fillId="0" borderId="0" xfId="0" applyNumberFormat="1" applyFont="1" applyBorder="1" applyAlignment="1" applyProtection="1">
      <alignment vertical="center"/>
      <protection/>
    </xf>
    <xf numFmtId="201" fontId="33" fillId="0" borderId="0" xfId="0" applyNumberFormat="1" applyFont="1" applyBorder="1" applyAlignment="1" applyProtection="1">
      <alignment horizontal="center" vertical="center"/>
      <protection/>
    </xf>
    <xf numFmtId="201" fontId="33" fillId="0" borderId="0" xfId="0" applyNumberFormat="1" applyFont="1" applyBorder="1" applyAlignment="1" applyProtection="1">
      <alignment horizontal="right" vertical="center"/>
      <protection/>
    </xf>
    <xf numFmtId="0" fontId="36" fillId="0" borderId="0" xfId="0" applyFont="1" applyBorder="1" applyAlignment="1" applyProtection="1">
      <alignment vertical="center"/>
      <protection/>
    </xf>
    <xf numFmtId="204" fontId="12" fillId="0" borderId="12" xfId="0" applyNumberFormat="1" applyFont="1" applyBorder="1" applyAlignment="1" applyProtection="1">
      <alignment horizontal="center" vertical="center"/>
      <protection/>
    </xf>
    <xf numFmtId="204" fontId="7" fillId="0" borderId="6" xfId="0" applyNumberFormat="1" applyFont="1" applyBorder="1" applyAlignment="1" applyProtection="1">
      <alignment horizontal="center" vertical="center"/>
      <protection/>
    </xf>
    <xf numFmtId="204" fontId="7" fillId="0" borderId="0" xfId="0" applyNumberFormat="1" applyFont="1" applyBorder="1" applyAlignment="1" applyProtection="1">
      <alignment horizontal="center" vertical="center"/>
      <protection/>
    </xf>
    <xf numFmtId="204" fontId="7" fillId="0" borderId="12" xfId="0" applyNumberFormat="1" applyFont="1" applyBorder="1" applyAlignment="1" applyProtection="1">
      <alignment horizontal="center" vertical="center"/>
      <protection/>
    </xf>
    <xf numFmtId="184" fontId="7" fillId="0" borderId="0" xfId="0" applyNumberFormat="1" applyFont="1" applyFill="1" applyBorder="1" applyAlignment="1" applyProtection="1">
      <alignment horizontal="left" vertical="center"/>
      <protection/>
    </xf>
    <xf numFmtId="184" fontId="14" fillId="0" borderId="0" xfId="0" applyNumberFormat="1" applyFont="1" applyFill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204" fontId="7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210" fontId="14" fillId="0" borderId="0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204" fontId="10" fillId="0" borderId="0" xfId="0" applyNumberFormat="1" applyFont="1" applyBorder="1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horizontal="right" vertical="center" textRotation="90"/>
      <protection/>
    </xf>
    <xf numFmtId="1" fontId="14" fillId="0" borderId="33" xfId="0" applyNumberFormat="1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Continuous"/>
      <protection/>
    </xf>
    <xf numFmtId="0" fontId="7" fillId="0" borderId="34" xfId="0" applyFont="1" applyBorder="1" applyAlignment="1" applyProtection="1">
      <alignment horizontal="centerContinuous"/>
      <protection/>
    </xf>
    <xf numFmtId="1" fontId="7" fillId="0" borderId="0" xfId="0" applyNumberFormat="1" applyFont="1" applyBorder="1" applyAlignment="1" applyProtection="1">
      <alignment vertical="center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Continuous"/>
      <protection/>
    </xf>
    <xf numFmtId="208" fontId="35" fillId="0" borderId="31" xfId="0" applyNumberFormat="1" applyFont="1" applyBorder="1" applyAlignment="1" applyProtection="1">
      <alignment horizontal="center" vertical="center"/>
      <protection/>
    </xf>
    <xf numFmtId="211" fontId="35" fillId="0" borderId="31" xfId="0" applyNumberFormat="1" applyFont="1" applyBorder="1" applyAlignment="1" applyProtection="1">
      <alignment horizontal="center" vertical="center"/>
      <protection/>
    </xf>
    <xf numFmtId="210" fontId="35" fillId="0" borderId="31" xfId="0" applyNumberFormat="1" applyFont="1" applyBorder="1" applyAlignment="1" applyProtection="1">
      <alignment horizontal="center" vertical="center"/>
      <protection/>
    </xf>
    <xf numFmtId="204" fontId="35" fillId="0" borderId="31" xfId="0" applyNumberFormat="1" applyFont="1" applyBorder="1" applyAlignment="1" applyProtection="1">
      <alignment horizontal="center" vertical="center"/>
      <protection/>
    </xf>
    <xf numFmtId="204" fontId="35" fillId="0" borderId="0" xfId="0" applyNumberFormat="1" applyFont="1" applyBorder="1" applyAlignment="1" applyProtection="1">
      <alignment horizontal="center" vertical="center"/>
      <protection/>
    </xf>
    <xf numFmtId="204" fontId="7" fillId="0" borderId="31" xfId="0" applyNumberFormat="1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208" fontId="35" fillId="0" borderId="9" xfId="0" applyNumberFormat="1" applyFont="1" applyBorder="1" applyAlignment="1" applyProtection="1">
      <alignment horizontal="center" vertical="center"/>
      <protection/>
    </xf>
    <xf numFmtId="204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42" xfId="0" applyFont="1" applyBorder="1" applyAlignment="1" applyProtection="1">
      <alignment/>
      <protection/>
    </xf>
    <xf numFmtId="2" fontId="14" fillId="0" borderId="0" xfId="0" applyNumberFormat="1" applyFont="1" applyFill="1" applyBorder="1" applyAlignment="1" applyProtection="1">
      <alignment vertical="center"/>
      <protection/>
    </xf>
    <xf numFmtId="208" fontId="35" fillId="0" borderId="12" xfId="0" applyNumberFormat="1" applyFont="1" applyBorder="1" applyAlignment="1" applyProtection="1">
      <alignment horizontal="center" vertical="center"/>
      <protection/>
    </xf>
    <xf numFmtId="211" fontId="35" fillId="0" borderId="12" xfId="0" applyNumberFormat="1" applyFont="1" applyBorder="1" applyAlignment="1" applyProtection="1">
      <alignment horizontal="center" vertical="center"/>
      <protection/>
    </xf>
    <xf numFmtId="210" fontId="35" fillId="0" borderId="12" xfId="0" applyNumberFormat="1" applyFont="1" applyBorder="1" applyAlignment="1" applyProtection="1">
      <alignment horizontal="center" vertical="center"/>
      <protection/>
    </xf>
    <xf numFmtId="204" fontId="35" fillId="0" borderId="12" xfId="0" applyNumberFormat="1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/>
      <protection/>
    </xf>
    <xf numFmtId="49" fontId="7" fillId="0" borderId="1" xfId="0" applyNumberFormat="1" applyFont="1" applyBorder="1" applyAlignment="1" applyProtection="1">
      <alignment horizontal="center"/>
      <protection/>
    </xf>
    <xf numFmtId="210" fontId="7" fillId="0" borderId="0" xfId="0" applyNumberFormat="1" applyFont="1" applyBorder="1" applyAlignment="1" applyProtection="1">
      <alignment vertical="center"/>
      <protection/>
    </xf>
    <xf numFmtId="210" fontId="7" fillId="0" borderId="0" xfId="0" applyNumberFormat="1" applyFont="1" applyAlignment="1" applyProtection="1">
      <alignment vertical="center"/>
      <protection/>
    </xf>
    <xf numFmtId="211" fontId="7" fillId="0" borderId="0" xfId="0" applyNumberFormat="1" applyFont="1" applyBorder="1" applyAlignment="1" applyProtection="1">
      <alignment horizontal="center" vertical="center"/>
      <protection/>
    </xf>
    <xf numFmtId="211" fontId="14" fillId="0" borderId="0" xfId="0" applyNumberFormat="1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210" fontId="7" fillId="0" borderId="31" xfId="0" applyNumberFormat="1" applyFont="1" applyBorder="1" applyAlignment="1" applyProtection="1">
      <alignment horizontal="center" vertical="center"/>
      <protection/>
    </xf>
    <xf numFmtId="210" fontId="7" fillId="0" borderId="9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210" fontId="7" fillId="0" borderId="12" xfId="0" applyNumberFormat="1" applyFont="1" applyBorder="1" applyAlignment="1" applyProtection="1">
      <alignment horizontal="center" vertical="center"/>
      <protection/>
    </xf>
    <xf numFmtId="210" fontId="7" fillId="0" borderId="0" xfId="0" applyNumberFormat="1" applyFont="1" applyBorder="1" applyAlignment="1" applyProtection="1">
      <alignment horizontal="center" vertical="center"/>
      <protection/>
    </xf>
    <xf numFmtId="210" fontId="7" fillId="0" borderId="0" xfId="0" applyNumberFormat="1" applyFont="1" applyBorder="1" applyAlignment="1" applyProtection="1" quotePrefix="1">
      <alignment horizontal="center" vertical="center"/>
      <protection/>
    </xf>
    <xf numFmtId="184" fontId="10" fillId="0" borderId="0" xfId="0" applyNumberFormat="1" applyFont="1" applyFill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49" fontId="7" fillId="0" borderId="38" xfId="0" applyNumberFormat="1" applyFont="1" applyBorder="1" applyAlignment="1" applyProtection="1">
      <alignment vertical="center"/>
      <protection/>
    </xf>
    <xf numFmtId="211" fontId="14" fillId="0" borderId="0" xfId="0" applyNumberFormat="1" applyFont="1" applyBorder="1" applyAlignment="1" applyProtection="1">
      <alignment horizontal="right" vertical="center"/>
      <protection/>
    </xf>
    <xf numFmtId="211" fontId="14" fillId="0" borderId="0" xfId="0" applyNumberFormat="1" applyFont="1" applyAlignment="1" applyProtection="1">
      <alignment horizontal="right" vertical="center"/>
      <protection/>
    </xf>
    <xf numFmtId="201" fontId="10" fillId="0" borderId="0" xfId="0" applyNumberFormat="1" applyFont="1" applyBorder="1" applyAlignment="1" applyProtection="1">
      <alignment horizontal="right" vertical="center"/>
      <protection/>
    </xf>
    <xf numFmtId="201" fontId="10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Border="1" applyAlignment="1" applyProtection="1" quotePrefix="1">
      <alignment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200" fontId="7" fillId="0" borderId="0" xfId="0" applyNumberFormat="1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38" fillId="0" borderId="0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Border="1" applyAlignment="1" applyProtection="1" quotePrefix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39" fillId="0" borderId="0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185" fontId="38" fillId="0" borderId="0" xfId="0" applyNumberFormat="1" applyFont="1" applyBorder="1" applyAlignment="1" applyProtection="1">
      <alignment vertical="center"/>
      <protection/>
    </xf>
    <xf numFmtId="1" fontId="38" fillId="0" borderId="0" xfId="0" applyNumberFormat="1" applyFont="1" applyBorder="1" applyAlignment="1" applyProtection="1">
      <alignment vertical="center"/>
      <protection/>
    </xf>
    <xf numFmtId="184" fontId="38" fillId="0" borderId="0" xfId="0" applyNumberFormat="1" applyFont="1" applyBorder="1" applyAlignment="1" applyProtection="1">
      <alignment vertical="center"/>
      <protection/>
    </xf>
    <xf numFmtId="2" fontId="38" fillId="0" borderId="0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/>
    </xf>
    <xf numFmtId="0" fontId="7" fillId="0" borderId="0" xfId="0" applyNumberFormat="1" applyFont="1" applyAlignment="1" applyProtection="1">
      <alignment vertical="center"/>
      <protection locked="0"/>
    </xf>
    <xf numFmtId="20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200" fontId="7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Border="1" applyAlignment="1" applyProtection="1" quotePrefix="1">
      <alignment vertical="center"/>
      <protection/>
    </xf>
    <xf numFmtId="200" fontId="35" fillId="0" borderId="0" xfId="0" applyNumberFormat="1" applyFont="1" applyBorder="1" applyAlignment="1" applyProtection="1">
      <alignment horizontal="center" vertical="center" textRotation="90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vertical="center" textRotation="90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 quotePrefix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216" fontId="7" fillId="0" borderId="0" xfId="0" applyNumberFormat="1" applyFont="1" applyBorder="1" applyAlignment="1" applyProtection="1">
      <alignment horizontal="center" vertical="center"/>
      <protection/>
    </xf>
    <xf numFmtId="199" fontId="7" fillId="0" borderId="0" xfId="0" applyNumberFormat="1" applyFont="1" applyAlignment="1" applyProtection="1">
      <alignment horizontal="center" vertical="center"/>
      <protection/>
    </xf>
    <xf numFmtId="204" fontId="7" fillId="0" borderId="0" xfId="0" applyNumberFormat="1" applyFont="1" applyAlignment="1" applyProtection="1">
      <alignment horizontal="center" vertical="center"/>
      <protection/>
    </xf>
    <xf numFmtId="211" fontId="7" fillId="0" borderId="0" xfId="0" applyNumberFormat="1" applyFont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1" xfId="0" applyNumberFormat="1" applyFont="1" applyBorder="1" applyAlignment="1" applyProtection="1">
      <alignment horizontal="center"/>
      <protection/>
    </xf>
    <xf numFmtId="0" fontId="7" fillId="0" borderId="16" xfId="0" applyNumberFormat="1" applyFont="1" applyBorder="1" applyAlignment="1" applyProtection="1">
      <alignment vertical="center"/>
      <protection/>
    </xf>
    <xf numFmtId="217" fontId="14" fillId="0" borderId="0" xfId="0" applyNumberFormat="1" applyFont="1" applyBorder="1" applyAlignment="1" applyProtection="1">
      <alignment horizontal="center" vertical="center"/>
      <protection/>
    </xf>
    <xf numFmtId="201" fontId="7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Continuous" vertical="center"/>
      <protection/>
    </xf>
    <xf numFmtId="0" fontId="40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 quotePrefix="1">
      <alignment horizontal="centerContinuous" vertical="center"/>
      <protection/>
    </xf>
    <xf numFmtId="0" fontId="11" fillId="0" borderId="1" xfId="0" applyNumberFormat="1" applyFont="1" applyBorder="1" applyAlignment="1" applyProtection="1" quotePrefix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12" fillId="0" borderId="0" xfId="0" applyNumberFormat="1" applyFont="1" applyBorder="1" applyAlignment="1" applyProtection="1">
      <alignment horizontal="centerContinuous" vertical="center"/>
      <protection/>
    </xf>
    <xf numFmtId="200" fontId="12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 quotePrefix="1">
      <alignment vertical="center"/>
      <protection/>
    </xf>
    <xf numFmtId="200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 quotePrefix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20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201" fontId="1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216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17" xfId="0" applyNumberFormat="1" applyFont="1" applyBorder="1" applyAlignment="1" applyProtection="1">
      <alignment horizontal="center" vertical="center"/>
      <protection/>
    </xf>
    <xf numFmtId="0" fontId="7" fillId="0" borderId="45" xfId="0" applyNumberFormat="1" applyFont="1" applyBorder="1" applyAlignment="1" applyProtection="1">
      <alignment horizontal="center" vertical="center"/>
      <protection/>
    </xf>
    <xf numFmtId="204" fontId="7" fillId="0" borderId="7" xfId="0" applyNumberFormat="1" applyFont="1" applyBorder="1" applyAlignment="1" applyProtection="1">
      <alignment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199" fontId="7" fillId="0" borderId="10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208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99" fontId="7" fillId="0" borderId="13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Alignment="1" applyProtection="1">
      <alignment vertical="center" textRotation="90"/>
      <protection/>
    </xf>
    <xf numFmtId="0" fontId="35" fillId="0" borderId="0" xfId="0" applyNumberFormat="1" applyFont="1" applyBorder="1" applyAlignment="1" applyProtection="1">
      <alignment vertical="center" textRotation="90"/>
      <protection/>
    </xf>
    <xf numFmtId="0" fontId="0" fillId="0" borderId="0" xfId="0" applyNumberForma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/>
      <protection/>
    </xf>
    <xf numFmtId="200" fontId="7" fillId="0" borderId="0" xfId="0" applyNumberFormat="1" applyFont="1" applyAlignment="1" applyProtection="1">
      <alignment horizontal="center" vertical="center"/>
      <protection/>
    </xf>
    <xf numFmtId="200" fontId="35" fillId="0" borderId="0" xfId="0" applyNumberFormat="1" applyFont="1" applyBorder="1" applyAlignment="1" applyProtection="1">
      <alignment horizontal="center" vertical="center"/>
      <protection/>
    </xf>
    <xf numFmtId="200" fontId="35" fillId="0" borderId="0" xfId="0" applyNumberFormat="1" applyFont="1" applyAlignment="1" applyProtection="1">
      <alignment horizontal="center" vertical="center"/>
      <protection/>
    </xf>
    <xf numFmtId="0" fontId="35" fillId="0" borderId="0" xfId="0" applyNumberFormat="1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33" fillId="0" borderId="0" xfId="0" applyNumberFormat="1" applyFont="1" applyBorder="1" applyAlignment="1" applyProtection="1">
      <alignment vertical="center" textRotation="90"/>
      <protection/>
    </xf>
    <xf numFmtId="202" fontId="14" fillId="0" borderId="0" xfId="0" applyNumberFormat="1" applyFont="1" applyBorder="1" applyAlignment="1" applyProtection="1">
      <alignment vertical="center"/>
      <protection/>
    </xf>
    <xf numFmtId="202" fontId="10" fillId="0" borderId="0" xfId="0" applyNumberFormat="1" applyFont="1" applyBorder="1" applyAlignment="1" applyProtection="1">
      <alignment vertical="center"/>
      <protection/>
    </xf>
    <xf numFmtId="202" fontId="7" fillId="0" borderId="0" xfId="0" applyNumberFormat="1" applyFont="1" applyAlignment="1" applyProtection="1">
      <alignment vertical="center"/>
      <protection/>
    </xf>
    <xf numFmtId="184" fontId="10" fillId="0" borderId="0" xfId="0" applyNumberFormat="1" applyFont="1" applyBorder="1" applyAlignment="1" applyProtection="1">
      <alignment horizontal="center" vertical="center"/>
      <protection/>
    </xf>
    <xf numFmtId="185" fontId="14" fillId="0" borderId="0" xfId="0" applyNumberFormat="1" applyFont="1" applyBorder="1" applyAlignment="1" applyProtection="1">
      <alignment horizontal="center" vertical="center"/>
      <protection/>
    </xf>
    <xf numFmtId="203" fontId="7" fillId="0" borderId="0" xfId="0" applyNumberFormat="1" applyFont="1" applyBorder="1" applyAlignment="1" applyProtection="1">
      <alignment horizontal="center" vertical="center"/>
      <protection/>
    </xf>
    <xf numFmtId="212" fontId="7" fillId="0" borderId="0" xfId="0" applyNumberFormat="1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Continuous" vertical="center"/>
      <protection/>
    </xf>
    <xf numFmtId="0" fontId="7" fillId="0" borderId="16" xfId="0" applyFont="1" applyBorder="1" applyAlignment="1" applyProtection="1">
      <alignment horizontal="centerContinuous" vertical="center"/>
      <protection/>
    </xf>
    <xf numFmtId="0" fontId="7" fillId="0" borderId="15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19" xfId="0" applyFont="1" applyBorder="1" applyAlignment="1" applyProtection="1">
      <alignment horizontal="centerContinuous" vertical="center"/>
      <protection/>
    </xf>
    <xf numFmtId="203" fontId="7" fillId="0" borderId="33" xfId="0" applyNumberFormat="1" applyFont="1" applyBorder="1" applyAlignment="1" applyProtection="1">
      <alignment horizontal="center" vertical="center"/>
      <protection/>
    </xf>
    <xf numFmtId="214" fontId="7" fillId="0" borderId="33" xfId="0" applyNumberFormat="1" applyFont="1" applyBorder="1" applyAlignment="1" applyProtection="1">
      <alignment horizontal="center" vertical="center"/>
      <protection/>
    </xf>
    <xf numFmtId="213" fontId="7" fillId="0" borderId="4" xfId="0" applyNumberFormat="1" applyFont="1" applyBorder="1" applyAlignment="1" applyProtection="1">
      <alignment horizontal="center" vertical="center"/>
      <protection/>
    </xf>
    <xf numFmtId="200" fontId="7" fillId="0" borderId="37" xfId="0" applyNumberFormat="1" applyFont="1" applyBorder="1" applyAlignment="1" applyProtection="1">
      <alignment horizontal="center" vertical="center"/>
      <protection/>
    </xf>
    <xf numFmtId="200" fontId="7" fillId="0" borderId="38" xfId="0" applyNumberFormat="1" applyFont="1" applyBorder="1" applyAlignment="1" applyProtection="1">
      <alignment horizontal="center" vertical="center"/>
      <protection/>
    </xf>
    <xf numFmtId="200" fontId="7" fillId="0" borderId="44" xfId="0" applyNumberFormat="1" applyFont="1" applyBorder="1" applyAlignment="1" applyProtection="1">
      <alignment horizontal="center" vertical="center"/>
      <protection/>
    </xf>
    <xf numFmtId="213" fontId="7" fillId="0" borderId="37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vertical="center" textRotation="90"/>
      <protection/>
    </xf>
    <xf numFmtId="0" fontId="7" fillId="0" borderId="0" xfId="0" applyFont="1" applyBorder="1" applyAlignment="1" applyProtection="1">
      <alignment vertical="top"/>
      <protection/>
    </xf>
    <xf numFmtId="200" fontId="33" fillId="0" borderId="0" xfId="0" applyNumberFormat="1" applyFont="1" applyBorder="1" applyAlignment="1" applyProtection="1">
      <alignment horizontal="right" vertical="center" textRotation="90"/>
      <protection/>
    </xf>
    <xf numFmtId="200" fontId="14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2" fillId="0" borderId="0" xfId="0" applyNumberFormat="1" applyFont="1" applyBorder="1" applyAlignment="1" applyProtection="1">
      <alignment vertical="top"/>
      <protection/>
    </xf>
    <xf numFmtId="0" fontId="12" fillId="0" borderId="0" xfId="0" applyNumberFormat="1" applyFont="1" applyBorder="1" applyAlignment="1" applyProtection="1">
      <alignment horizontal="center" vertical="top"/>
      <protection/>
    </xf>
    <xf numFmtId="0" fontId="12" fillId="0" borderId="0" xfId="0" applyNumberFormat="1" applyFont="1" applyBorder="1" applyAlignment="1" applyProtection="1">
      <alignment horizontal="right" vertical="center" textRotation="90"/>
      <protection/>
    </xf>
    <xf numFmtId="0" fontId="14" fillId="0" borderId="1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top"/>
      <protection/>
    </xf>
    <xf numFmtId="0" fontId="3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201" fontId="10" fillId="0" borderId="0" xfId="0" applyNumberFormat="1" applyFont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3" fillId="0" borderId="0" xfId="0" applyNumberFormat="1" applyFont="1" applyAlignment="1" applyProtection="1">
      <alignment vertical="center" textRotation="90"/>
      <protection/>
    </xf>
    <xf numFmtId="201" fontId="3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43" fillId="0" borderId="0" xfId="0" applyFont="1" applyAlignment="1" applyProtection="1">
      <alignment horizontal="centerContinuous"/>
      <protection/>
    </xf>
    <xf numFmtId="0" fontId="43" fillId="0" borderId="0" xfId="0" applyFont="1" applyAlignment="1" applyProtection="1">
      <alignment/>
      <protection/>
    </xf>
    <xf numFmtId="200" fontId="4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>
      <alignment/>
    </xf>
    <xf numFmtId="0" fontId="7" fillId="0" borderId="2" xfId="0" applyFont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NumberFormat="1" applyFont="1" applyBorder="1" applyAlignment="1" applyProtection="1">
      <alignment vertical="center"/>
      <protection/>
    </xf>
    <xf numFmtId="0" fontId="47" fillId="0" borderId="0" xfId="0" applyFont="1" applyAlignment="1">
      <alignment vertical="center"/>
    </xf>
    <xf numFmtId="200" fontId="35" fillId="0" borderId="0" xfId="0" applyNumberFormat="1" applyFont="1" applyBorder="1" applyAlignment="1" applyProtection="1">
      <alignment vertical="center"/>
      <protection/>
    </xf>
    <xf numFmtId="200" fontId="14" fillId="0" borderId="0" xfId="0" applyNumberFormat="1" applyFont="1" applyAlignment="1" applyProtection="1">
      <alignment/>
      <protection locked="0"/>
    </xf>
    <xf numFmtId="201" fontId="44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38" fontId="0" fillId="0" borderId="0" xfId="17" applyAlignment="1">
      <alignment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 locked="0"/>
    </xf>
    <xf numFmtId="38" fontId="0" fillId="0" borderId="33" xfId="17" applyBorder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09" fontId="0" fillId="0" borderId="46" xfId="0" applyNumberFormat="1" applyBorder="1" applyAlignment="1" applyProtection="1">
      <alignment horizontal="right" vertical="center"/>
      <protection/>
    </xf>
    <xf numFmtId="209" fontId="0" fillId="0" borderId="25" xfId="0" applyNumberFormat="1" applyBorder="1" applyAlignment="1" applyProtection="1">
      <alignment horizontal="right" vertical="center"/>
      <protection locked="0"/>
    </xf>
    <xf numFmtId="209" fontId="0" fillId="0" borderId="29" xfId="0" applyNumberFormat="1" applyBorder="1" applyAlignment="1">
      <alignment horizontal="right" vertical="center"/>
    </xf>
    <xf numFmtId="200" fontId="0" fillId="0" borderId="47" xfId="0" applyNumberFormat="1" applyFont="1" applyBorder="1" applyAlignment="1" applyProtection="1">
      <alignment horizontal="right" vertical="center"/>
      <protection/>
    </xf>
    <xf numFmtId="200" fontId="0" fillId="0" borderId="47" xfId="0" applyNumberFormat="1" applyBorder="1" applyAlignment="1" applyProtection="1">
      <alignment horizontal="right" vertical="center"/>
      <protection/>
    </xf>
    <xf numFmtId="200" fontId="0" fillId="0" borderId="25" xfId="0" applyNumberFormat="1" applyBorder="1" applyAlignment="1" applyProtection="1">
      <alignment horizontal="right" vertical="center"/>
      <protection locked="0"/>
    </xf>
    <xf numFmtId="200" fontId="0" fillId="0" borderId="27" xfId="0" applyNumberFormat="1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200" fontId="0" fillId="0" borderId="9" xfId="0" applyNumberFormat="1" applyBorder="1" applyAlignment="1" applyProtection="1">
      <alignment horizontal="right" vertical="center"/>
      <protection locked="0"/>
    </xf>
    <xf numFmtId="209" fontId="0" fillId="0" borderId="20" xfId="0" applyNumberFormat="1" applyBorder="1" applyAlignment="1">
      <alignment horizontal="right" vertical="center"/>
    </xf>
    <xf numFmtId="209" fontId="0" fillId="0" borderId="9" xfId="0" applyNumberFormat="1" applyBorder="1" applyAlignment="1" applyProtection="1">
      <alignment horizontal="right" vertical="center"/>
      <protection locked="0"/>
    </xf>
    <xf numFmtId="209" fontId="0" fillId="0" borderId="12" xfId="0" applyNumberForma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3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209" fontId="0" fillId="0" borderId="47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/>
      <protection locked="0"/>
    </xf>
    <xf numFmtId="226" fontId="7" fillId="0" borderId="33" xfId="0" applyNumberFormat="1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33" xfId="0" applyFont="1" applyBorder="1" applyAlignment="1">
      <alignment horizontal="center"/>
    </xf>
    <xf numFmtId="201" fontId="14" fillId="0" borderId="0" xfId="0" applyNumberFormat="1" applyFont="1" applyAlignment="1" applyProtection="1">
      <alignment horizontal="center"/>
      <protection hidden="1"/>
    </xf>
    <xf numFmtId="0" fontId="26" fillId="0" borderId="7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/>
      <protection/>
    </xf>
    <xf numFmtId="209" fontId="0" fillId="0" borderId="27" xfId="0" applyNumberFormat="1" applyBorder="1" applyAlignment="1" applyProtection="1">
      <alignment horizontal="right" vertical="center"/>
      <protection locked="0"/>
    </xf>
    <xf numFmtId="0" fontId="26" fillId="0" borderId="10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200" fontId="1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textRotation="90"/>
      <protection locked="0"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/>
      <protection/>
    </xf>
    <xf numFmtId="200" fontId="14" fillId="0" borderId="0" xfId="0" applyNumberFormat="1" applyFont="1" applyBorder="1" applyAlignment="1" applyProtection="1">
      <alignment horizontal="center" vertical="center"/>
      <protection/>
    </xf>
    <xf numFmtId="200" fontId="14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textRotation="90"/>
      <protection locked="0"/>
    </xf>
    <xf numFmtId="202" fontId="7" fillId="0" borderId="0" xfId="0" applyNumberFormat="1" applyFont="1" applyAlignment="1" applyProtection="1">
      <alignment horizontal="right" vertical="center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212" fontId="7" fillId="0" borderId="0" xfId="0" applyNumberFormat="1" applyFont="1" applyBorder="1" applyAlignment="1" applyProtection="1">
      <alignment vertical="center"/>
      <protection/>
    </xf>
    <xf numFmtId="212" fontId="7" fillId="0" borderId="0" xfId="0" applyNumberFormat="1" applyFont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/>
      <protection/>
    </xf>
    <xf numFmtId="208" fontId="7" fillId="0" borderId="0" xfId="0" applyNumberFormat="1" applyFont="1" applyBorder="1" applyAlignment="1" applyProtection="1">
      <alignment vertical="center"/>
      <protection/>
    </xf>
    <xf numFmtId="208" fontId="7" fillId="0" borderId="0" xfId="0" applyNumberFormat="1" applyFont="1" applyAlignment="1" applyProtection="1">
      <alignment vertical="center"/>
      <protection/>
    </xf>
    <xf numFmtId="201" fontId="7" fillId="0" borderId="0" xfId="0" applyNumberFormat="1" applyFont="1" applyBorder="1" applyAlignment="1" applyProtection="1">
      <alignment vertical="center"/>
      <protection/>
    </xf>
    <xf numFmtId="201" fontId="7" fillId="0" borderId="0" xfId="0" applyNumberFormat="1" applyFont="1" applyAlignment="1" applyProtection="1">
      <alignment vertical="center"/>
      <protection/>
    </xf>
    <xf numFmtId="212" fontId="7" fillId="0" borderId="0" xfId="0" applyNumberFormat="1" applyFont="1" applyAlignment="1" applyProtection="1">
      <alignment horizontal="right" vertical="center"/>
      <protection/>
    </xf>
    <xf numFmtId="199" fontId="14" fillId="0" borderId="0" xfId="0" applyNumberFormat="1" applyFont="1" applyBorder="1" applyAlignment="1" applyProtection="1">
      <alignment vertical="center"/>
      <protection/>
    </xf>
    <xf numFmtId="199" fontId="14" fillId="0" borderId="0" xfId="0" applyNumberFormat="1" applyFont="1" applyAlignment="1" applyProtection="1">
      <alignment vertical="center"/>
      <protection/>
    </xf>
    <xf numFmtId="215" fontId="14" fillId="0" borderId="0" xfId="0" applyNumberFormat="1" applyFont="1" applyBorder="1" applyAlignment="1" applyProtection="1">
      <alignment horizontal="right" vertical="center"/>
      <protection/>
    </xf>
    <xf numFmtId="215" fontId="7" fillId="0" borderId="0" xfId="0" applyNumberFormat="1" applyFont="1" applyAlignment="1" applyProtection="1">
      <alignment horizontal="right" vertical="center"/>
      <protection/>
    </xf>
    <xf numFmtId="202" fontId="14" fillId="0" borderId="0" xfId="0" applyNumberFormat="1" applyFont="1" applyBorder="1" applyAlignment="1" applyProtection="1">
      <alignment horizontal="right" vertical="center"/>
      <protection/>
    </xf>
    <xf numFmtId="200" fontId="7" fillId="0" borderId="18" xfId="0" applyNumberFormat="1" applyFont="1" applyBorder="1" applyAlignment="1" applyProtection="1">
      <alignment vertical="center"/>
      <protection/>
    </xf>
    <xf numFmtId="200" fontId="7" fillId="0" borderId="13" xfId="0" applyNumberFormat="1" applyFont="1" applyBorder="1" applyAlignment="1" applyProtection="1">
      <alignment vertical="center"/>
      <protection/>
    </xf>
    <xf numFmtId="200" fontId="7" fillId="0" borderId="28" xfId="0" applyNumberFormat="1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 quotePrefix="1">
      <alignment horizontal="center"/>
      <protection/>
    </xf>
    <xf numFmtId="212" fontId="1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 quotePrefix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201" fontId="14" fillId="0" borderId="0" xfId="0" applyNumberFormat="1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202" fontId="14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/>
      <protection locked="0"/>
    </xf>
    <xf numFmtId="200" fontId="14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4" xfId="0" applyFont="1" applyBorder="1" applyAlignment="1" applyProtection="1">
      <alignment horizontal="center" vertical="top"/>
      <protection/>
    </xf>
    <xf numFmtId="0" fontId="7" fillId="0" borderId="50" xfId="0" applyFont="1" applyBorder="1" applyAlignment="1" applyProtection="1">
      <alignment horizontal="center" vertical="top"/>
      <protection/>
    </xf>
    <xf numFmtId="200" fontId="7" fillId="0" borderId="7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right" vertical="center"/>
      <protection/>
    </xf>
    <xf numFmtId="202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201" fontId="14" fillId="0" borderId="0" xfId="0" applyNumberFormat="1" applyFont="1" applyBorder="1" applyAlignment="1" applyProtection="1">
      <alignment vertical="center"/>
      <protection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00" fontId="0" fillId="0" borderId="6" xfId="0" applyNumberFormat="1" applyBorder="1" applyAlignment="1" applyProtection="1">
      <alignment horizontal="right" vertical="center"/>
      <protection locked="0"/>
    </xf>
    <xf numFmtId="0" fontId="26" fillId="0" borderId="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6" xfId="0" applyBorder="1" applyAlignment="1" applyProtection="1">
      <alignment horizontal="center" vertical="center" wrapText="1"/>
      <protection/>
    </xf>
    <xf numFmtId="200" fontId="0" fillId="0" borderId="51" xfId="0" applyNumberFormat="1" applyFont="1" applyBorder="1" applyAlignment="1" applyProtection="1">
      <alignment horizontal="right" vertical="center"/>
      <protection/>
    </xf>
    <xf numFmtId="200" fontId="0" fillId="0" borderId="21" xfId="0" applyNumberFormat="1" applyBorder="1" applyAlignment="1" applyProtection="1">
      <alignment horizontal="right" vertical="center"/>
      <protection locked="0"/>
    </xf>
    <xf numFmtId="200" fontId="0" fillId="0" borderId="23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201" fontId="1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200" fontId="14" fillId="0" borderId="1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204" fontId="14" fillId="0" borderId="1" xfId="0" applyNumberFormat="1" applyFont="1" applyFill="1" applyBorder="1" applyAlignment="1" applyProtection="1">
      <alignment horizontal="center"/>
      <protection/>
    </xf>
    <xf numFmtId="204" fontId="14" fillId="0" borderId="1" xfId="0" applyNumberFormat="1" applyFont="1" applyFill="1" applyBorder="1" applyAlignment="1" applyProtection="1">
      <alignment/>
      <protection/>
    </xf>
    <xf numFmtId="198" fontId="14" fillId="0" borderId="1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98" fontId="14" fillId="0" borderId="0" xfId="0" applyNumberFormat="1" applyFont="1" applyBorder="1" applyAlignment="1" applyProtection="1">
      <alignment horizontal="center" vertical="center"/>
      <protection/>
    </xf>
    <xf numFmtId="201" fontId="14" fillId="0" borderId="1" xfId="0" applyNumberFormat="1" applyFont="1" applyBorder="1" applyAlignment="1" applyProtection="1">
      <alignment horizontal="center"/>
      <protection/>
    </xf>
    <xf numFmtId="201" fontId="7" fillId="0" borderId="1" xfId="0" applyNumberFormat="1" applyFont="1" applyBorder="1" applyAlignment="1" applyProtection="1">
      <alignment horizontal="center"/>
      <protection/>
    </xf>
    <xf numFmtId="201" fontId="14" fillId="0" borderId="1" xfId="0" applyNumberFormat="1" applyFont="1" applyFill="1" applyBorder="1" applyAlignment="1" applyProtection="1">
      <alignment/>
      <protection/>
    </xf>
    <xf numFmtId="201" fontId="7" fillId="0" borderId="1" xfId="0" applyNumberFormat="1" applyFont="1" applyBorder="1" applyAlignment="1" applyProtection="1">
      <alignment/>
      <protection/>
    </xf>
    <xf numFmtId="205" fontId="14" fillId="0" borderId="1" xfId="0" applyNumberFormat="1" applyFont="1" applyBorder="1" applyAlignment="1" applyProtection="1">
      <alignment horizontal="center"/>
      <protection/>
    </xf>
    <xf numFmtId="205" fontId="7" fillId="0" borderId="1" xfId="0" applyNumberFormat="1" applyFont="1" applyBorder="1" applyAlignment="1" applyProtection="1">
      <alignment/>
      <protection/>
    </xf>
    <xf numFmtId="201" fontId="14" fillId="0" borderId="0" xfId="0" applyNumberFormat="1" applyFont="1" applyBorder="1" applyAlignment="1" applyProtection="1" quotePrefix="1">
      <alignment horizontal="center" vertical="center"/>
      <protection/>
    </xf>
    <xf numFmtId="201" fontId="14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vertical="center" wrapText="1"/>
      <protection/>
    </xf>
    <xf numFmtId="204" fontId="14" fillId="0" borderId="0" xfId="0" applyNumberFormat="1" applyFont="1" applyBorder="1" applyAlignment="1" applyProtection="1">
      <alignment horizontal="center" vertical="center"/>
      <protection/>
    </xf>
    <xf numFmtId="184" fontId="14" fillId="0" borderId="0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226" fontId="7" fillId="0" borderId="33" xfId="0" applyNumberFormat="1" applyFont="1" applyFill="1" applyBorder="1" applyAlignment="1">
      <alignment horizontal="center"/>
    </xf>
    <xf numFmtId="201" fontId="1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28" fontId="7" fillId="0" borderId="33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228" fontId="7" fillId="0" borderId="56" xfId="0" applyNumberFormat="1" applyFont="1" applyFill="1" applyBorder="1" applyAlignment="1">
      <alignment horizontal="right"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 quotePrefix="1">
      <alignment horizontal="center" vertical="center"/>
      <protection/>
    </xf>
    <xf numFmtId="228" fontId="7" fillId="0" borderId="3" xfId="0" applyNumberFormat="1" applyFont="1" applyFill="1" applyBorder="1" applyAlignment="1">
      <alignment horizontal="right"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01" fontId="14" fillId="0" borderId="1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198" fontId="14" fillId="0" borderId="0" xfId="0" applyNumberFormat="1" applyFont="1" applyBorder="1" applyAlignment="1" applyProtection="1">
      <alignment vertical="center"/>
      <protection/>
    </xf>
    <xf numFmtId="198" fontId="7" fillId="0" borderId="0" xfId="0" applyNumberFormat="1" applyFont="1" applyAlignment="1" applyProtection="1">
      <alignment vertical="center"/>
      <protection/>
    </xf>
    <xf numFmtId="198" fontId="14" fillId="0" borderId="1" xfId="0" applyNumberFormat="1" applyFont="1" applyBorder="1" applyAlignment="1" applyProtection="1">
      <alignment vertical="center"/>
      <protection/>
    </xf>
    <xf numFmtId="198" fontId="7" fillId="0" borderId="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04" fontId="14" fillId="0" borderId="1" xfId="0" applyNumberFormat="1" applyFont="1" applyBorder="1" applyAlignment="1" applyProtection="1">
      <alignment vertical="center"/>
      <protection/>
    </xf>
    <xf numFmtId="198" fontId="14" fillId="0" borderId="16" xfId="0" applyNumberFormat="1" applyFont="1" applyBorder="1" applyAlignment="1" applyProtection="1">
      <alignment vertical="center"/>
      <protection/>
    </xf>
    <xf numFmtId="198" fontId="7" fillId="0" borderId="16" xfId="0" applyNumberFormat="1" applyFont="1" applyBorder="1" applyAlignment="1" applyProtection="1">
      <alignment vertical="center"/>
      <protection/>
    </xf>
    <xf numFmtId="196" fontId="14" fillId="0" borderId="1" xfId="0" applyNumberFormat="1" applyFont="1" applyBorder="1" applyAlignment="1" applyProtection="1">
      <alignment horizontal="center"/>
      <protection/>
    </xf>
    <xf numFmtId="199" fontId="14" fillId="0" borderId="1" xfId="0" applyNumberFormat="1" applyFont="1" applyBorder="1" applyAlignment="1" applyProtection="1">
      <alignment vertical="center"/>
      <protection/>
    </xf>
    <xf numFmtId="199" fontId="7" fillId="0" borderId="1" xfId="0" applyNumberFormat="1" applyFont="1" applyBorder="1" applyAlignment="1" applyProtection="1">
      <alignment vertical="center"/>
      <protection/>
    </xf>
    <xf numFmtId="201" fontId="10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202" fontId="14" fillId="0" borderId="1" xfId="0" applyNumberFormat="1" applyFont="1" applyFill="1" applyBorder="1" applyAlignment="1" applyProtection="1">
      <alignment/>
      <protection/>
    </xf>
    <xf numFmtId="202" fontId="14" fillId="0" borderId="1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 vertical="center"/>
      <protection/>
    </xf>
    <xf numFmtId="185" fontId="14" fillId="0" borderId="1" xfId="0" applyNumberFormat="1" applyFont="1" applyBorder="1" applyAlignment="1" applyProtection="1">
      <alignment horizontal="center" vertical="center"/>
      <protection/>
    </xf>
    <xf numFmtId="201" fontId="14" fillId="0" borderId="1" xfId="0" applyNumberFormat="1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right" vertical="center"/>
      <protection/>
    </xf>
    <xf numFmtId="202" fontId="14" fillId="0" borderId="1" xfId="0" applyNumberFormat="1" applyFont="1" applyFill="1" applyBorder="1" applyAlignment="1" applyProtection="1">
      <alignment horizontal="center" vertical="center"/>
      <protection/>
    </xf>
    <xf numFmtId="198" fontId="14" fillId="0" borderId="1" xfId="0" applyNumberFormat="1" applyFont="1" applyBorder="1" applyAlignment="1" applyProtection="1">
      <alignment horizontal="center" vertical="center"/>
      <protection/>
    </xf>
    <xf numFmtId="201" fontId="14" fillId="0" borderId="1" xfId="0" applyNumberFormat="1" applyFont="1" applyBorder="1" applyAlignment="1" applyProtection="1">
      <alignment horizontal="center" vertical="center"/>
      <protection/>
    </xf>
    <xf numFmtId="200" fontId="14" fillId="0" borderId="1" xfId="0" applyNumberFormat="1" applyFont="1" applyBorder="1" applyAlignment="1" applyProtection="1">
      <alignment horizontal="center" vertical="center"/>
      <protection/>
    </xf>
    <xf numFmtId="201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201" fontId="14" fillId="0" borderId="0" xfId="0" applyNumberFormat="1" applyFont="1" applyBorder="1" applyAlignment="1" applyProtection="1">
      <alignment horizontal="right" vertical="center"/>
      <protection/>
    </xf>
    <xf numFmtId="201" fontId="14" fillId="0" borderId="16" xfId="0" applyNumberFormat="1" applyFont="1" applyBorder="1" applyAlignment="1" applyProtection="1">
      <alignment vertical="center"/>
      <protection/>
    </xf>
    <xf numFmtId="201" fontId="7" fillId="0" borderId="16" xfId="0" applyNumberFormat="1" applyFont="1" applyBorder="1" applyAlignment="1" applyProtection="1">
      <alignment vertical="center"/>
      <protection/>
    </xf>
    <xf numFmtId="201" fontId="7" fillId="0" borderId="0" xfId="0" applyNumberFormat="1" applyFont="1" applyBorder="1" applyAlignment="1" applyProtection="1">
      <alignment horizontal="center" vertical="center"/>
      <protection/>
    </xf>
    <xf numFmtId="202" fontId="14" fillId="0" borderId="1" xfId="0" applyNumberFormat="1" applyFont="1" applyFill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201" fontId="7" fillId="0" borderId="1" xfId="0" applyNumberFormat="1" applyFont="1" applyBorder="1" applyAlignment="1" applyProtection="1">
      <alignment vertical="center"/>
      <protection/>
    </xf>
    <xf numFmtId="200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201" fontId="14" fillId="0" borderId="1" xfId="0" applyNumberFormat="1" applyFont="1" applyBorder="1" applyAlignment="1" applyProtection="1">
      <alignment vertical="center"/>
      <protection/>
    </xf>
    <xf numFmtId="201" fontId="14" fillId="0" borderId="16" xfId="0" applyNumberFormat="1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1" fontId="14" fillId="0" borderId="0" xfId="0" applyNumberFormat="1" applyFont="1" applyBorder="1" applyAlignment="1" applyProtection="1" quotePrefix="1">
      <alignment horizontal="center" vertical="center"/>
      <protection/>
    </xf>
    <xf numFmtId="202" fontId="14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57" xfId="22" applyFont="1" applyBorder="1" applyAlignment="1" applyProtection="1">
      <alignment horizontal="center" vertical="center"/>
      <protection locked="0"/>
    </xf>
    <xf numFmtId="0" fontId="32" fillId="0" borderId="58" xfId="21" applyFont="1" applyBorder="1" applyAlignment="1" applyProtection="1">
      <alignment horizontal="center" vertical="center"/>
      <protection locked="0"/>
    </xf>
    <xf numFmtId="0" fontId="26" fillId="0" borderId="17" xfId="22" applyFont="1" applyBorder="1" applyAlignment="1">
      <alignment horizontal="center" vertical="center"/>
      <protection/>
    </xf>
    <xf numFmtId="0" fontId="26" fillId="0" borderId="45" xfId="22" applyFont="1" applyBorder="1" applyAlignment="1">
      <alignment horizontal="center" vertical="center"/>
      <protection/>
    </xf>
    <xf numFmtId="0" fontId="26" fillId="0" borderId="3" xfId="22" applyFont="1" applyBorder="1" applyAlignment="1">
      <alignment horizontal="center" vertical="center"/>
      <protection/>
    </xf>
    <xf numFmtId="0" fontId="32" fillId="0" borderId="39" xfId="22" applyFont="1" applyBorder="1" applyAlignment="1" applyProtection="1">
      <alignment horizontal="center" vertical="center"/>
      <protection locked="0"/>
    </xf>
    <xf numFmtId="0" fontId="26" fillId="0" borderId="39" xfId="21" applyBorder="1" applyAlignment="1" applyProtection="1">
      <alignment horizontal="center" vertical="center"/>
      <protection locked="0"/>
    </xf>
    <xf numFmtId="0" fontId="32" fillId="0" borderId="59" xfId="22" applyFont="1" applyBorder="1" applyAlignment="1" applyProtection="1">
      <alignment horizontal="center" vertical="center"/>
      <protection locked="0"/>
    </xf>
    <xf numFmtId="0" fontId="32" fillId="0" borderId="59" xfId="21" applyFont="1" applyBorder="1" applyAlignment="1" applyProtection="1">
      <alignment horizontal="center" vertical="center"/>
      <protection locked="0"/>
    </xf>
    <xf numFmtId="0" fontId="32" fillId="0" borderId="60" xfId="22" applyFont="1" applyBorder="1" applyAlignment="1" applyProtection="1">
      <alignment horizontal="center" vertical="center"/>
      <protection locked="0"/>
    </xf>
    <xf numFmtId="0" fontId="32" fillId="0" borderId="58" xfId="22" applyFont="1" applyBorder="1" applyAlignment="1" applyProtection="1">
      <alignment horizontal="center" vertical="center"/>
      <protection locked="0"/>
    </xf>
    <xf numFmtId="0" fontId="26" fillId="0" borderId="61" xfId="22" applyFont="1" applyBorder="1" applyAlignment="1">
      <alignment horizontal="center" vertical="center"/>
      <protection/>
    </xf>
    <xf numFmtId="0" fontId="26" fillId="0" borderId="62" xfId="22" applyFont="1" applyBorder="1" applyAlignment="1">
      <alignment horizontal="center" vertical="center"/>
      <protection/>
    </xf>
    <xf numFmtId="0" fontId="24" fillId="0" borderId="57" xfId="22" applyFont="1" applyBorder="1" applyAlignment="1">
      <alignment horizontal="center" vertical="center"/>
      <protection/>
    </xf>
    <xf numFmtId="0" fontId="24" fillId="0" borderId="40" xfId="22" applyFont="1" applyBorder="1" applyAlignment="1">
      <alignment horizontal="center" vertical="center"/>
      <protection/>
    </xf>
    <xf numFmtId="0" fontId="26" fillId="0" borderId="17" xfId="22" applyFont="1" applyBorder="1" applyAlignment="1">
      <alignment horizontal="center" vertical="center" wrapText="1"/>
      <protection/>
    </xf>
    <xf numFmtId="0" fontId="26" fillId="0" borderId="3" xfId="21" applyBorder="1" applyAlignment="1">
      <alignment horizontal="center" vertical="center" wrapText="1"/>
      <protection/>
    </xf>
    <xf numFmtId="0" fontId="26" fillId="0" borderId="61" xfId="22" applyFont="1" applyBorder="1" applyAlignment="1">
      <alignment vertical="center"/>
      <protection/>
    </xf>
    <xf numFmtId="0" fontId="26" fillId="0" borderId="45" xfId="22" applyFont="1" applyBorder="1" applyAlignment="1">
      <alignment vertical="center"/>
      <protection/>
    </xf>
    <xf numFmtId="0" fontId="26" fillId="0" borderId="62" xfId="22" applyFont="1" applyBorder="1" applyAlignment="1">
      <alignment vertical="center"/>
      <protection/>
    </xf>
    <xf numFmtId="0" fontId="26" fillId="0" borderId="14" xfId="22" applyFont="1" applyBorder="1" applyAlignment="1">
      <alignment horizontal="center" vertical="center"/>
      <protection/>
    </xf>
    <xf numFmtId="0" fontId="26" fillId="0" borderId="16" xfId="22" applyFont="1" applyBorder="1" applyAlignment="1">
      <alignment horizontal="center" vertical="center"/>
      <protection/>
    </xf>
    <xf numFmtId="0" fontId="26" fillId="0" borderId="0" xfId="22" applyFont="1" applyBorder="1" applyAlignment="1">
      <alignment horizontal="center" vertical="center"/>
      <protection/>
    </xf>
    <xf numFmtId="0" fontId="26" fillId="0" borderId="4" xfId="22" applyFont="1" applyBorder="1" applyAlignment="1">
      <alignment horizontal="center" vertical="center"/>
      <protection/>
    </xf>
    <xf numFmtId="0" fontId="26" fillId="0" borderId="1" xfId="22" applyFont="1" applyBorder="1" applyAlignment="1">
      <alignment horizontal="center" vertical="center"/>
      <protection/>
    </xf>
    <xf numFmtId="0" fontId="26" fillId="0" borderId="63" xfId="22" applyFont="1" applyBorder="1" applyAlignment="1">
      <alignment horizontal="center" vertical="center"/>
      <protection/>
    </xf>
    <xf numFmtId="0" fontId="26" fillId="0" borderId="33" xfId="22" applyFont="1" applyBorder="1" applyAlignment="1">
      <alignment horizontal="center" vertical="center"/>
      <protection/>
    </xf>
    <xf numFmtId="211" fontId="7" fillId="0" borderId="0" xfId="0" applyNumberFormat="1" applyFont="1" applyBorder="1" applyAlignment="1" applyProtection="1">
      <alignment horizontal="center" vertical="center"/>
      <protection/>
    </xf>
    <xf numFmtId="210" fontId="14" fillId="0" borderId="0" xfId="0" applyNumberFormat="1" applyFont="1" applyBorder="1" applyAlignment="1" applyProtection="1">
      <alignment horizontal="left" vertical="center"/>
      <protection/>
    </xf>
    <xf numFmtId="201" fontId="33" fillId="0" borderId="0" xfId="0" applyNumberFormat="1" applyFont="1" applyAlignment="1" applyProtection="1">
      <alignment horizontal="center" vertical="center" textRotation="90"/>
      <protection locked="0"/>
    </xf>
    <xf numFmtId="200" fontId="33" fillId="0" borderId="0" xfId="0" applyNumberFormat="1" applyFont="1" applyAlignment="1" applyProtection="1">
      <alignment horizontal="right" vertical="center" textRotation="90"/>
      <protection locked="0"/>
    </xf>
    <xf numFmtId="200" fontId="35" fillId="0" borderId="0" xfId="0" applyNumberFormat="1" applyFont="1" applyAlignment="1" applyProtection="1">
      <alignment horizontal="right" vertical="center" textRotation="90"/>
      <protection/>
    </xf>
    <xf numFmtId="200" fontId="33" fillId="0" borderId="0" xfId="0" applyNumberFormat="1" applyFont="1" applyBorder="1" applyAlignment="1" applyProtection="1">
      <alignment horizontal="right" vertical="center" textRotation="90"/>
      <protection locked="0"/>
    </xf>
    <xf numFmtId="0" fontId="43" fillId="0" borderId="0" xfId="0" applyFont="1" applyAlignment="1" applyProtection="1">
      <alignment vertical="center" textRotation="90"/>
      <protection locked="0"/>
    </xf>
    <xf numFmtId="200" fontId="44" fillId="0" borderId="0" xfId="0" applyNumberFormat="1" applyFont="1" applyAlignment="1" applyProtection="1">
      <alignment horizontal="right" vertical="center" textRotation="90"/>
      <protection locked="0"/>
    </xf>
    <xf numFmtId="204" fontId="14" fillId="0" borderId="0" xfId="0" applyNumberFormat="1" applyFont="1" applyBorder="1" applyAlignment="1" applyProtection="1">
      <alignment vertical="center"/>
      <protection/>
    </xf>
    <xf numFmtId="210" fontId="14" fillId="0" borderId="0" xfId="0" applyNumberFormat="1" applyFont="1" applyBorder="1" applyAlignment="1" applyProtection="1">
      <alignment vertical="center"/>
      <protection/>
    </xf>
    <xf numFmtId="201" fontId="10" fillId="0" borderId="0" xfId="0" applyNumberFormat="1" applyFont="1" applyAlignment="1" applyProtection="1">
      <alignment horizontal="right" vertical="center"/>
      <protection locked="0"/>
    </xf>
    <xf numFmtId="201" fontId="7" fillId="0" borderId="0" xfId="0" applyNumberFormat="1" applyFont="1" applyAlignment="1" applyProtection="1">
      <alignment vertical="center"/>
      <protection locked="0"/>
    </xf>
    <xf numFmtId="200" fontId="33" fillId="0" borderId="0" xfId="0" applyNumberFormat="1" applyFont="1" applyBorder="1" applyAlignment="1" applyProtection="1">
      <alignment horizontal="right" vertical="center"/>
      <protection locked="0"/>
    </xf>
    <xf numFmtId="200" fontId="35" fillId="0" borderId="0" xfId="0" applyNumberFormat="1" applyFont="1" applyBorder="1" applyAlignment="1" applyProtection="1">
      <alignment horizontal="left"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/>
    </xf>
    <xf numFmtId="199" fontId="14" fillId="0" borderId="0" xfId="0" applyNumberFormat="1" applyFont="1" applyAlignment="1" applyProtection="1">
      <alignment horizontal="center" vertical="center"/>
      <protection/>
    </xf>
    <xf numFmtId="210" fontId="14" fillId="0" borderId="0" xfId="0" applyNumberFormat="1" applyFont="1" applyBorder="1" applyAlignment="1" applyProtection="1">
      <alignment horizontal="center" vertical="center"/>
      <protection/>
    </xf>
    <xf numFmtId="201" fontId="33" fillId="0" borderId="0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201" fontId="44" fillId="0" borderId="0" xfId="0" applyNumberFormat="1" applyFont="1" applyAlignment="1" applyProtection="1">
      <alignment horizontal="center" vertical="center"/>
      <protection/>
    </xf>
    <xf numFmtId="201" fontId="33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211" fontId="14" fillId="0" borderId="0" xfId="0" applyNumberFormat="1" applyFont="1" applyBorder="1" applyAlignment="1" applyProtection="1">
      <alignment horizontal="center" vertical="center"/>
      <protection/>
    </xf>
    <xf numFmtId="196" fontId="14" fillId="0" borderId="0" xfId="0" applyNumberFormat="1" applyFont="1" applyBorder="1" applyAlignment="1" applyProtection="1">
      <alignment horizontal="center" vertical="center"/>
      <protection/>
    </xf>
    <xf numFmtId="196" fontId="7" fillId="0" borderId="0" xfId="0" applyNumberFormat="1" applyFont="1" applyAlignment="1" applyProtection="1">
      <alignment horizontal="center" vertical="center"/>
      <protection/>
    </xf>
    <xf numFmtId="196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211" fontId="14" fillId="0" borderId="1" xfId="0" applyNumberFormat="1" applyFont="1" applyBorder="1" applyAlignment="1" applyProtection="1">
      <alignment horizontal="center"/>
      <protection/>
    </xf>
    <xf numFmtId="208" fontId="14" fillId="0" borderId="1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 vertical="top"/>
      <protection/>
    </xf>
    <xf numFmtId="208" fontId="14" fillId="0" borderId="0" xfId="0" applyNumberFormat="1" applyFont="1" applyBorder="1" applyAlignment="1" applyProtection="1">
      <alignment horizontal="center" vertical="center"/>
      <protection/>
    </xf>
    <xf numFmtId="208" fontId="14" fillId="0" borderId="0" xfId="0" applyNumberFormat="1" applyFont="1" applyAlignment="1" applyProtection="1">
      <alignment horizontal="center" vertical="center"/>
      <protection/>
    </xf>
    <xf numFmtId="208" fontId="14" fillId="0" borderId="1" xfId="0" applyNumberFormat="1" applyFont="1" applyBorder="1" applyAlignment="1" applyProtection="1">
      <alignment horizontal="center" vertical="center"/>
      <protection/>
    </xf>
    <xf numFmtId="199" fontId="7" fillId="0" borderId="0" xfId="0" applyNumberFormat="1" applyFont="1" applyBorder="1" applyAlignment="1" applyProtection="1">
      <alignment horizontal="center" vertical="center"/>
      <protection/>
    </xf>
    <xf numFmtId="204" fontId="14" fillId="0" borderId="1" xfId="0" applyNumberFormat="1" applyFont="1" applyBorder="1" applyAlignment="1" applyProtection="1">
      <alignment horizontal="center" vertical="center"/>
      <protection/>
    </xf>
    <xf numFmtId="204" fontId="7" fillId="0" borderId="1" xfId="0" applyNumberFormat="1" applyFont="1" applyBorder="1" applyAlignment="1" applyProtection="1">
      <alignment horizontal="center" vertical="center"/>
      <protection/>
    </xf>
    <xf numFmtId="208" fontId="14" fillId="0" borderId="16" xfId="0" applyNumberFormat="1" applyFont="1" applyBorder="1" applyAlignment="1" applyProtection="1">
      <alignment horizontal="center" vertical="top"/>
      <protection/>
    </xf>
    <xf numFmtId="208" fontId="7" fillId="0" borderId="16" xfId="0" applyNumberFormat="1" applyFont="1" applyBorder="1" applyAlignment="1" applyProtection="1">
      <alignment horizontal="center" vertical="top"/>
      <protection/>
    </xf>
    <xf numFmtId="204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200" fontId="35" fillId="0" borderId="0" xfId="0" applyNumberFormat="1" applyFont="1" applyBorder="1" applyAlignment="1" applyProtection="1">
      <alignment horizontal="right" vertical="center"/>
      <protection/>
    </xf>
    <xf numFmtId="204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 quotePrefix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96" fontId="14" fillId="0" borderId="0" xfId="0" applyNumberFormat="1" applyFont="1" applyBorder="1" applyAlignment="1" applyProtection="1">
      <alignment horizontal="left" vertical="center"/>
      <protection/>
    </xf>
    <xf numFmtId="196" fontId="7" fillId="0" borderId="0" xfId="0" applyNumberFormat="1" applyFont="1" applyAlignment="1" applyProtection="1">
      <alignment horizontal="left" vertical="center"/>
      <protection/>
    </xf>
    <xf numFmtId="198" fontId="14" fillId="0" borderId="0" xfId="0" applyNumberFormat="1" applyFont="1" applyAlignment="1" applyProtection="1">
      <alignment horizontal="center" vertical="center"/>
      <protection/>
    </xf>
    <xf numFmtId="211" fontId="14" fillId="0" borderId="0" xfId="0" applyNumberFormat="1" applyFont="1" applyBorder="1" applyAlignment="1" applyProtection="1">
      <alignment horizontal="right" vertical="center"/>
      <protection/>
    </xf>
    <xf numFmtId="211" fontId="14" fillId="0" borderId="0" xfId="0" applyNumberFormat="1" applyFont="1" applyAlignment="1" applyProtection="1">
      <alignment horizontal="right" vertical="center"/>
      <protection/>
    </xf>
    <xf numFmtId="1" fontId="7" fillId="0" borderId="16" xfId="0" applyNumberFormat="1" applyFont="1" applyBorder="1" applyAlignment="1" applyProtection="1">
      <alignment horizontal="center" vertical="top"/>
      <protection/>
    </xf>
    <xf numFmtId="0" fontId="7" fillId="0" borderId="16" xfId="0" applyFont="1" applyBorder="1" applyAlignment="1" applyProtection="1">
      <alignment horizontal="center" vertical="top"/>
      <protection/>
    </xf>
    <xf numFmtId="211" fontId="14" fillId="0" borderId="1" xfId="0" applyNumberFormat="1" applyFont="1" applyBorder="1" applyAlignment="1" applyProtection="1">
      <alignment horizontal="center" vertical="center"/>
      <protection/>
    </xf>
    <xf numFmtId="208" fontId="14" fillId="0" borderId="0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5" fillId="0" borderId="37" xfId="0" applyFon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wrapText="1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6" xfId="0" applyNumberForma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35" fillId="0" borderId="37" xfId="0" applyNumberFormat="1" applyFont="1" applyBorder="1" applyAlignment="1" applyProtection="1">
      <alignment horizontal="center" vertical="center"/>
      <protection/>
    </xf>
    <xf numFmtId="200" fontId="35" fillId="0" borderId="0" xfId="0" applyNumberFormat="1" applyFont="1" applyBorder="1" applyAlignment="1" applyProtection="1">
      <alignment horizontal="center" vertical="center"/>
      <protection/>
    </xf>
    <xf numFmtId="201" fontId="35" fillId="0" borderId="0" xfId="0" applyNumberFormat="1" applyFont="1" applyBorder="1" applyAlignment="1" applyProtection="1">
      <alignment horizontal="left" vertical="center"/>
      <protection/>
    </xf>
    <xf numFmtId="200" fontId="12" fillId="0" borderId="0" xfId="0" applyNumberFormat="1" applyFont="1" applyBorder="1" applyAlignment="1" applyProtection="1">
      <alignment horizontal="right" vertical="top" textRotation="90"/>
      <protection/>
    </xf>
    <xf numFmtId="0" fontId="12" fillId="0" borderId="0" xfId="0" applyFont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200" fontId="7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205" fontId="14" fillId="0" borderId="1" xfId="0" applyNumberFormat="1" applyFont="1" applyBorder="1" applyAlignment="1" applyProtection="1">
      <alignment horizontal="center" vertical="center"/>
      <protection/>
    </xf>
    <xf numFmtId="201" fontId="7" fillId="0" borderId="16" xfId="0" applyNumberFormat="1" applyFont="1" applyBorder="1" applyAlignment="1" applyProtection="1">
      <alignment horizontal="center" vertical="center"/>
      <protection/>
    </xf>
    <xf numFmtId="211" fontId="7" fillId="0" borderId="0" xfId="0" applyNumberFormat="1" applyFont="1" applyAlignment="1" applyProtection="1">
      <alignment horizontal="center" vertical="center"/>
      <protection/>
    </xf>
    <xf numFmtId="217" fontId="1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200" fontId="14" fillId="0" borderId="0" xfId="0" applyNumberFormat="1" applyFont="1" applyBorder="1" applyAlignment="1" applyProtection="1">
      <alignment horizontal="center" vertical="center" textRotation="90"/>
      <protection/>
    </xf>
    <xf numFmtId="0" fontId="14" fillId="0" borderId="1" xfId="0" applyNumberFormat="1" applyFont="1" applyBorder="1" applyAlignment="1" applyProtection="1">
      <alignment horizontal="center"/>
      <protection/>
    </xf>
    <xf numFmtId="0" fontId="14" fillId="0" borderId="16" xfId="0" applyNumberFormat="1" applyFont="1" applyBorder="1" applyAlignment="1" applyProtection="1">
      <alignment horizontal="center" vertical="center"/>
      <protection/>
    </xf>
    <xf numFmtId="200" fontId="14" fillId="0" borderId="16" xfId="0" applyNumberFormat="1" applyFont="1" applyBorder="1" applyAlignment="1" applyProtection="1">
      <alignment horizontal="center" vertical="center"/>
      <protection/>
    </xf>
    <xf numFmtId="200" fontId="7" fillId="0" borderId="0" xfId="0" applyNumberFormat="1" applyFont="1" applyBorder="1" applyAlignment="1" applyProtection="1">
      <alignment vertical="center"/>
      <protection/>
    </xf>
    <xf numFmtId="200" fontId="7" fillId="0" borderId="0" xfId="0" applyNumberFormat="1" applyFont="1" applyAlignment="1" applyProtection="1">
      <alignment vertical="center"/>
      <protection/>
    </xf>
    <xf numFmtId="200" fontId="35" fillId="0" borderId="0" xfId="0" applyNumberFormat="1" applyFont="1" applyBorder="1" applyAlignment="1" applyProtection="1">
      <alignment horizontal="right" textRotation="90"/>
      <protection/>
    </xf>
    <xf numFmtId="199" fontId="35" fillId="0" borderId="0" xfId="0" applyNumberFormat="1" applyFont="1" applyBorder="1" applyAlignment="1" applyProtection="1">
      <alignment horizontal="right" textRotation="90"/>
      <protection/>
    </xf>
    <xf numFmtId="217" fontId="14" fillId="0" borderId="16" xfId="0" applyNumberFormat="1" applyFont="1" applyBorder="1" applyAlignment="1" applyProtection="1">
      <alignment vertical="center"/>
      <protection/>
    </xf>
    <xf numFmtId="199" fontId="7" fillId="0" borderId="0" xfId="0" applyNumberFormat="1" applyFont="1" applyAlignment="1" applyProtection="1">
      <alignment horizontal="center" vertical="center"/>
      <protection/>
    </xf>
    <xf numFmtId="208" fontId="7" fillId="0" borderId="0" xfId="0" applyNumberFormat="1" applyFont="1" applyBorder="1" applyAlignment="1" applyProtection="1">
      <alignment horizontal="center" vertical="center"/>
      <protection/>
    </xf>
    <xf numFmtId="208" fontId="7" fillId="0" borderId="0" xfId="0" applyNumberFormat="1" applyFont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/>
      <protection/>
    </xf>
    <xf numFmtId="200" fontId="14" fillId="0" borderId="1" xfId="0" applyNumberFormat="1" applyFont="1" applyBorder="1" applyAlignment="1" applyProtection="1">
      <alignment/>
      <protection/>
    </xf>
    <xf numFmtId="211" fontId="14" fillId="0" borderId="1" xfId="0" applyNumberFormat="1" applyFont="1" applyBorder="1" applyAlignment="1" applyProtection="1">
      <alignment/>
      <protection/>
    </xf>
    <xf numFmtId="216" fontId="14" fillId="0" borderId="16" xfId="0" applyNumberFormat="1" applyFont="1" applyBorder="1" applyAlignment="1" applyProtection="1">
      <alignment vertical="center"/>
      <protection/>
    </xf>
    <xf numFmtId="204" fontId="7" fillId="0" borderId="0" xfId="0" applyNumberFormat="1" applyFont="1" applyAlignment="1" applyProtection="1">
      <alignment horizontal="center" vertical="center"/>
      <protection/>
    </xf>
    <xf numFmtId="216" fontId="14" fillId="0" borderId="0" xfId="0" applyNumberFormat="1" applyFont="1" applyBorder="1" applyAlignment="1" applyProtection="1">
      <alignment horizontal="center" vertical="center"/>
      <protection/>
    </xf>
    <xf numFmtId="201" fontId="14" fillId="0" borderId="16" xfId="0" applyNumberFormat="1" applyFont="1" applyBorder="1" applyAlignment="1" applyProtection="1">
      <alignment horizontal="center" vertical="center"/>
      <protection/>
    </xf>
    <xf numFmtId="201" fontId="35" fillId="0" borderId="0" xfId="0" applyNumberFormat="1" applyFont="1" applyBorder="1" applyAlignment="1" applyProtection="1">
      <alignment horizontal="right" vertical="center" textRotation="90"/>
      <protection/>
    </xf>
    <xf numFmtId="201" fontId="0" fillId="0" borderId="0" xfId="0" applyNumberFormat="1" applyAlignment="1" applyProtection="1">
      <alignment horizontal="right" vertical="center" textRotation="90"/>
      <protection/>
    </xf>
    <xf numFmtId="0" fontId="7" fillId="0" borderId="0" xfId="0" applyNumberFormat="1" applyFont="1" applyBorder="1" applyAlignment="1" applyProtection="1">
      <alignment horizontal="right" vertical="top" textRotation="90"/>
      <protection/>
    </xf>
    <xf numFmtId="0" fontId="0" fillId="0" borderId="0" xfId="0" applyAlignment="1" applyProtection="1">
      <alignment horizontal="right" vertical="top"/>
      <protection/>
    </xf>
    <xf numFmtId="200" fontId="14" fillId="0" borderId="0" xfId="0" applyNumberFormat="1" applyFont="1" applyBorder="1" applyAlignment="1" applyProtection="1">
      <alignment horizontal="right" textRotation="90"/>
      <protection/>
    </xf>
    <xf numFmtId="200" fontId="38" fillId="0" borderId="0" xfId="0" applyNumberFormat="1" applyFont="1" applyAlignment="1" applyProtection="1">
      <alignment horizontal="right" textRotation="90"/>
      <protection/>
    </xf>
    <xf numFmtId="200" fontId="14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200" fontId="14" fillId="0" borderId="0" xfId="0" applyNumberFormat="1" applyFont="1" applyAlignment="1" applyProtection="1">
      <alignment horizontal="center" vertical="center"/>
      <protection/>
    </xf>
    <xf numFmtId="199" fontId="14" fillId="0" borderId="1" xfId="0" applyNumberFormat="1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99" fontId="14" fillId="0" borderId="1" xfId="0" applyNumberFormat="1" applyFont="1" applyFill="1" applyBorder="1" applyAlignment="1" applyProtection="1">
      <alignment horizontal="center"/>
      <protection/>
    </xf>
    <xf numFmtId="211" fontId="14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 textRotation="90"/>
      <protection/>
    </xf>
    <xf numFmtId="0" fontId="0" fillId="0" borderId="0" xfId="0" applyAlignment="1" applyProtection="1">
      <alignment horizontal="right" vertical="top" textRotation="90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20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00" fontId="14" fillId="0" borderId="1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200" fontId="14" fillId="0" borderId="0" xfId="0" applyNumberFormat="1" applyFont="1" applyFill="1" applyBorder="1" applyAlignment="1" applyProtection="1">
      <alignment horizontal="center" vertical="center"/>
      <protection/>
    </xf>
    <xf numFmtId="200" fontId="7" fillId="0" borderId="0" xfId="0" applyNumberFormat="1" applyFont="1" applyAlignment="1" applyProtection="1">
      <alignment horizontal="right" vertical="center"/>
      <protection/>
    </xf>
    <xf numFmtId="200" fontId="14" fillId="0" borderId="0" xfId="0" applyNumberFormat="1" applyFont="1" applyAlignment="1" applyProtection="1">
      <alignment horizontal="left" vertical="center"/>
      <protection/>
    </xf>
    <xf numFmtId="201" fontId="1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200" fontId="38" fillId="0" borderId="0" xfId="0" applyNumberFormat="1" applyFont="1" applyAlignment="1" applyProtection="1">
      <alignment horizontal="left" vertical="center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200" fontId="35" fillId="0" borderId="0" xfId="0" applyNumberFormat="1" applyFont="1" applyAlignment="1" applyProtection="1">
      <alignment horizontal="right" textRotation="90"/>
      <protection/>
    </xf>
    <xf numFmtId="200" fontId="35" fillId="0" borderId="0" xfId="0" applyNumberFormat="1" applyFont="1" applyBorder="1" applyAlignment="1" applyProtection="1">
      <alignment horizontal="right" vertical="center" textRotation="90"/>
      <protection/>
    </xf>
    <xf numFmtId="200" fontId="38" fillId="0" borderId="0" xfId="0" applyNumberFormat="1" applyFont="1" applyAlignment="1" applyProtection="1">
      <alignment horizontal="right" vertical="center" textRotation="90"/>
      <protection/>
    </xf>
    <xf numFmtId="200" fontId="38" fillId="0" borderId="0" xfId="0" applyNumberFormat="1" applyFont="1" applyAlignment="1" applyProtection="1">
      <alignment horizontal="center" vertical="center"/>
      <protection/>
    </xf>
    <xf numFmtId="200" fontId="38" fillId="0" borderId="0" xfId="0" applyNumberFormat="1" applyFont="1" applyAlignment="1" applyProtection="1">
      <alignment horizontal="right" vertical="center"/>
      <protection/>
    </xf>
    <xf numFmtId="199" fontId="35" fillId="0" borderId="0" xfId="0" applyNumberFormat="1" applyFont="1" applyBorder="1" applyAlignment="1" applyProtection="1">
      <alignment horizontal="center" vertical="center"/>
      <protection/>
    </xf>
    <xf numFmtId="0" fontId="35" fillId="0" borderId="0" xfId="0" applyNumberFormat="1" applyFont="1" applyAlignment="1" applyProtection="1">
      <alignment horizontal="right" vertical="top" textRotation="90"/>
      <protection/>
    </xf>
    <xf numFmtId="0" fontId="35" fillId="0" borderId="0" xfId="0" applyNumberFormat="1" applyFont="1" applyBorder="1" applyAlignment="1" applyProtection="1">
      <alignment horizontal="right" vertical="top" textRotation="90"/>
      <protection/>
    </xf>
    <xf numFmtId="0" fontId="0" fillId="0" borderId="0" xfId="0" applyNumberFormat="1" applyAlignment="1" applyProtection="1">
      <alignment horizontal="right" vertical="top"/>
      <protection/>
    </xf>
    <xf numFmtId="200" fontId="35" fillId="0" borderId="0" xfId="0" applyNumberFormat="1" applyFont="1" applyAlignment="1" applyProtection="1">
      <alignment horizontal="right" vertical="top" textRotation="90"/>
      <protection/>
    </xf>
    <xf numFmtId="201" fontId="7" fillId="0" borderId="0" xfId="0" applyNumberFormat="1" applyFont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top"/>
      <protection/>
    </xf>
    <xf numFmtId="203" fontId="14" fillId="0" borderId="16" xfId="0" applyNumberFormat="1" applyFont="1" applyFill="1" applyBorder="1" applyAlignment="1" applyProtection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center"/>
      <protection/>
    </xf>
    <xf numFmtId="200" fontId="14" fillId="0" borderId="16" xfId="0" applyNumberFormat="1" applyFont="1" applyFill="1" applyBorder="1" applyAlignment="1" applyProtection="1">
      <alignment horizontal="center" vertical="center"/>
      <protection/>
    </xf>
    <xf numFmtId="208" fontId="14" fillId="0" borderId="0" xfId="0" applyNumberFormat="1" applyFont="1" applyFill="1" applyBorder="1" applyAlignment="1" applyProtection="1">
      <alignment horizontal="center" vertical="center"/>
      <protection/>
    </xf>
    <xf numFmtId="200" fontId="7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200" fontId="14" fillId="0" borderId="0" xfId="0" applyNumberFormat="1" applyFont="1" applyFill="1" applyAlignment="1" applyProtection="1">
      <alignment horizontal="center" vertical="center"/>
      <protection/>
    </xf>
    <xf numFmtId="217" fontId="14" fillId="0" borderId="16" xfId="0" applyNumberFormat="1" applyFont="1" applyFill="1" applyBorder="1" applyAlignment="1" applyProtection="1">
      <alignment horizontal="center" vertical="center"/>
      <protection/>
    </xf>
    <xf numFmtId="217" fontId="14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38" fontId="38" fillId="0" borderId="0" xfId="17" applyFont="1" applyAlignment="1">
      <alignment horizontal="right"/>
    </xf>
    <xf numFmtId="0" fontId="7" fillId="0" borderId="0" xfId="0" applyFont="1" applyAlignment="1" applyProtection="1">
      <alignment horizontal="distributed" indent="1"/>
      <protection locked="0"/>
    </xf>
    <xf numFmtId="0" fontId="0" fillId="0" borderId="0" xfId="0" applyAlignment="1" applyProtection="1">
      <alignment horizontal="distributed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◆設計風速" xfId="21"/>
    <cellStyle name="標準_設計風速(H15.5.9修正済み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55</xdr:row>
      <xdr:rowOff>219075</xdr:rowOff>
    </xdr:from>
    <xdr:to>
      <xdr:col>10</xdr:col>
      <xdr:colOff>295275</xdr:colOff>
      <xdr:row>60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047875" y="12868275"/>
          <a:ext cx="1485900" cy="1028700"/>
        </a:xfrm>
        <a:custGeom>
          <a:pathLst>
            <a:path h="108" w="124">
              <a:moveTo>
                <a:pt x="0" y="74"/>
              </a:moveTo>
              <a:cubicBezTo>
                <a:pt x="0" y="65"/>
                <a:pt x="0" y="29"/>
                <a:pt x="0" y="17"/>
              </a:cubicBezTo>
              <a:cubicBezTo>
                <a:pt x="0" y="5"/>
                <a:pt x="3" y="0"/>
                <a:pt x="16" y="0"/>
              </a:cubicBezTo>
              <a:cubicBezTo>
                <a:pt x="29" y="0"/>
                <a:pt x="102" y="0"/>
                <a:pt x="111" y="1"/>
              </a:cubicBezTo>
              <a:cubicBezTo>
                <a:pt x="120" y="2"/>
                <a:pt x="124" y="8"/>
                <a:pt x="124" y="18"/>
              </a:cubicBezTo>
              <a:cubicBezTo>
                <a:pt x="124" y="28"/>
                <a:pt x="124" y="89"/>
                <a:pt x="124" y="108"/>
              </a:cubicBez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295275</xdr:colOff>
      <xdr:row>59</xdr:row>
      <xdr:rowOff>133350</xdr:rowOff>
    </xdr:from>
    <xdr:to>
      <xdr:col>11</xdr:col>
      <xdr:colOff>276225</xdr:colOff>
      <xdr:row>61</xdr:row>
      <xdr:rowOff>0</xdr:rowOff>
    </xdr:to>
    <xdr:sp>
      <xdr:nvSpPr>
        <xdr:cNvPr id="2" name="Oval 8"/>
        <xdr:cNvSpPr>
          <a:spLocks/>
        </xdr:cNvSpPr>
      </xdr:nvSpPr>
      <xdr:spPr>
        <a:xfrm>
          <a:off x="3533775" y="13696950"/>
          <a:ext cx="304800" cy="323850"/>
        </a:xfrm>
        <a:prstGeom prst="ellipse">
          <a:avLst/>
        </a:prstGeom>
        <a:solidFill>
          <a:srgbClr val="FFFFFF"/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142875</xdr:colOff>
      <xdr:row>59</xdr:row>
      <xdr:rowOff>66675</xdr:rowOff>
    </xdr:from>
    <xdr:to>
      <xdr:col>6</xdr:col>
      <xdr:colOff>142875</xdr:colOff>
      <xdr:row>61</xdr:row>
      <xdr:rowOff>219075</xdr:rowOff>
    </xdr:to>
    <xdr:sp>
      <xdr:nvSpPr>
        <xdr:cNvPr id="3" name="Line 9"/>
        <xdr:cNvSpPr>
          <a:spLocks/>
        </xdr:cNvSpPr>
      </xdr:nvSpPr>
      <xdr:spPr>
        <a:xfrm flipV="1">
          <a:off x="2085975" y="13630275"/>
          <a:ext cx="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60</xdr:row>
      <xdr:rowOff>180975</xdr:rowOff>
    </xdr:from>
    <xdr:to>
      <xdr:col>10</xdr:col>
      <xdr:colOff>285750</xdr:colOff>
      <xdr:row>61</xdr:row>
      <xdr:rowOff>219075</xdr:rowOff>
    </xdr:to>
    <xdr:sp>
      <xdr:nvSpPr>
        <xdr:cNvPr id="4" name="Line 10"/>
        <xdr:cNvSpPr>
          <a:spLocks/>
        </xdr:cNvSpPr>
      </xdr:nvSpPr>
      <xdr:spPr>
        <a:xfrm flipV="1">
          <a:off x="3524250" y="139731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285750</xdr:colOff>
      <xdr:row>55</xdr:row>
      <xdr:rowOff>200025</xdr:rowOff>
    </xdr:from>
    <xdr:to>
      <xdr:col>6</xdr:col>
      <xdr:colOff>9525</xdr:colOff>
      <xdr:row>55</xdr:row>
      <xdr:rowOff>200025</xdr:rowOff>
    </xdr:to>
    <xdr:sp>
      <xdr:nvSpPr>
        <xdr:cNvPr id="5" name="Line 11"/>
        <xdr:cNvSpPr>
          <a:spLocks/>
        </xdr:cNvSpPr>
      </xdr:nvSpPr>
      <xdr:spPr>
        <a:xfrm flipH="1">
          <a:off x="1581150" y="1284922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295275</xdr:colOff>
      <xdr:row>59</xdr:row>
      <xdr:rowOff>0</xdr:rowOff>
    </xdr:from>
    <xdr:to>
      <xdr:col>6</xdr:col>
      <xdr:colOff>28575</xdr:colOff>
      <xdr:row>59</xdr:row>
      <xdr:rowOff>0</xdr:rowOff>
    </xdr:to>
    <xdr:sp>
      <xdr:nvSpPr>
        <xdr:cNvPr id="6" name="Line 12"/>
        <xdr:cNvSpPr>
          <a:spLocks/>
        </xdr:cNvSpPr>
      </xdr:nvSpPr>
      <xdr:spPr>
        <a:xfrm flipH="1">
          <a:off x="1590675" y="1356360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28575</xdr:colOff>
      <xdr:row>55</xdr:row>
      <xdr:rowOff>200025</xdr:rowOff>
    </xdr:from>
    <xdr:to>
      <xdr:col>5</xdr:col>
      <xdr:colOff>28575</xdr:colOff>
      <xdr:row>59</xdr:row>
      <xdr:rowOff>9525</xdr:rowOff>
    </xdr:to>
    <xdr:sp>
      <xdr:nvSpPr>
        <xdr:cNvPr id="7" name="Line 13"/>
        <xdr:cNvSpPr>
          <a:spLocks/>
        </xdr:cNvSpPr>
      </xdr:nvSpPr>
      <xdr:spPr>
        <a:xfrm>
          <a:off x="1647825" y="12849225"/>
          <a:ext cx="0" cy="723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133350</xdr:colOff>
      <xdr:row>61</xdr:row>
      <xdr:rowOff>219075</xdr:rowOff>
    </xdr:from>
    <xdr:to>
      <xdr:col>10</xdr:col>
      <xdr:colOff>295275</xdr:colOff>
      <xdr:row>61</xdr:row>
      <xdr:rowOff>219075</xdr:rowOff>
    </xdr:to>
    <xdr:sp>
      <xdr:nvSpPr>
        <xdr:cNvPr id="8" name="Line 14"/>
        <xdr:cNvSpPr>
          <a:spLocks/>
        </xdr:cNvSpPr>
      </xdr:nvSpPr>
      <xdr:spPr>
        <a:xfrm flipH="1">
          <a:off x="2076450" y="14239875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295275</xdr:colOff>
      <xdr:row>60</xdr:row>
      <xdr:rowOff>180975</xdr:rowOff>
    </xdr:from>
    <xdr:to>
      <xdr:col>11</xdr:col>
      <xdr:colOff>295275</xdr:colOff>
      <xdr:row>61</xdr:row>
      <xdr:rowOff>219075</xdr:rowOff>
    </xdr:to>
    <xdr:sp>
      <xdr:nvSpPr>
        <xdr:cNvPr id="9" name="Line 15"/>
        <xdr:cNvSpPr>
          <a:spLocks/>
        </xdr:cNvSpPr>
      </xdr:nvSpPr>
      <xdr:spPr>
        <a:xfrm flipV="1">
          <a:off x="3857625" y="139731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61</xdr:row>
      <xdr:rowOff>219075</xdr:rowOff>
    </xdr:from>
    <xdr:to>
      <xdr:col>11</xdr:col>
      <xdr:colOff>295275</xdr:colOff>
      <xdr:row>61</xdr:row>
      <xdr:rowOff>219075</xdr:rowOff>
    </xdr:to>
    <xdr:sp>
      <xdr:nvSpPr>
        <xdr:cNvPr id="10" name="Line 16"/>
        <xdr:cNvSpPr>
          <a:spLocks/>
        </xdr:cNvSpPr>
      </xdr:nvSpPr>
      <xdr:spPr>
        <a:xfrm flipH="1">
          <a:off x="3524250" y="142398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209550</xdr:rowOff>
    </xdr:from>
    <xdr:to>
      <xdr:col>15</xdr:col>
      <xdr:colOff>28575</xdr:colOff>
      <xdr:row>55</xdr:row>
      <xdr:rowOff>209550</xdr:rowOff>
    </xdr:to>
    <xdr:sp>
      <xdr:nvSpPr>
        <xdr:cNvPr id="11" name="Line 17"/>
        <xdr:cNvSpPr>
          <a:spLocks/>
        </xdr:cNvSpPr>
      </xdr:nvSpPr>
      <xdr:spPr>
        <a:xfrm>
          <a:off x="3562350" y="12858750"/>
          <a:ext cx="1323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266700</xdr:colOff>
      <xdr:row>61</xdr:row>
      <xdr:rowOff>19050</xdr:rowOff>
    </xdr:from>
    <xdr:to>
      <xdr:col>15</xdr:col>
      <xdr:colOff>0</xdr:colOff>
      <xdr:row>61</xdr:row>
      <xdr:rowOff>19050</xdr:rowOff>
    </xdr:to>
    <xdr:sp>
      <xdr:nvSpPr>
        <xdr:cNvPr id="12" name="Line 18"/>
        <xdr:cNvSpPr>
          <a:spLocks/>
        </xdr:cNvSpPr>
      </xdr:nvSpPr>
      <xdr:spPr>
        <a:xfrm>
          <a:off x="3829050" y="14039850"/>
          <a:ext cx="1028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266700</xdr:colOff>
      <xdr:row>59</xdr:row>
      <xdr:rowOff>123825</xdr:rowOff>
    </xdr:from>
    <xdr:to>
      <xdr:col>13</xdr:col>
      <xdr:colOff>47625</xdr:colOff>
      <xdr:row>59</xdr:row>
      <xdr:rowOff>123825</xdr:rowOff>
    </xdr:to>
    <xdr:sp>
      <xdr:nvSpPr>
        <xdr:cNvPr id="13" name="Line 19"/>
        <xdr:cNvSpPr>
          <a:spLocks/>
        </xdr:cNvSpPr>
      </xdr:nvSpPr>
      <xdr:spPr>
        <a:xfrm>
          <a:off x="3829050" y="13687425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142875</xdr:rowOff>
    </xdr:from>
    <xdr:to>
      <xdr:col>13</xdr:col>
      <xdr:colOff>0</xdr:colOff>
      <xdr:row>61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4210050" y="137064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209550</xdr:rowOff>
    </xdr:from>
    <xdr:to>
      <xdr:col>15</xdr:col>
      <xdr:colOff>0</xdr:colOff>
      <xdr:row>61</xdr:row>
      <xdr:rowOff>28575</xdr:rowOff>
    </xdr:to>
    <xdr:sp>
      <xdr:nvSpPr>
        <xdr:cNvPr id="15" name="Line 21"/>
        <xdr:cNvSpPr>
          <a:spLocks/>
        </xdr:cNvSpPr>
      </xdr:nvSpPr>
      <xdr:spPr>
        <a:xfrm>
          <a:off x="4857750" y="12858750"/>
          <a:ext cx="0" cy="11906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266700</xdr:colOff>
      <xdr:row>56</xdr:row>
      <xdr:rowOff>123825</xdr:rowOff>
    </xdr:from>
    <xdr:to>
      <xdr:col>10</xdr:col>
      <xdr:colOff>104775</xdr:colOff>
      <xdr:row>57</xdr:row>
      <xdr:rowOff>142875</xdr:rowOff>
    </xdr:to>
    <xdr:sp>
      <xdr:nvSpPr>
        <xdr:cNvPr id="16" name="Line 22"/>
        <xdr:cNvSpPr>
          <a:spLocks/>
        </xdr:cNvSpPr>
      </xdr:nvSpPr>
      <xdr:spPr>
        <a:xfrm flipV="1">
          <a:off x="2857500" y="13001625"/>
          <a:ext cx="485775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56</xdr:row>
      <xdr:rowOff>76200</xdr:rowOff>
    </xdr:from>
    <xdr:to>
      <xdr:col>8</xdr:col>
      <xdr:colOff>47625</xdr:colOff>
      <xdr:row>57</xdr:row>
      <xdr:rowOff>133350</xdr:rowOff>
    </xdr:to>
    <xdr:sp>
      <xdr:nvSpPr>
        <xdr:cNvPr id="17" name="Line 23"/>
        <xdr:cNvSpPr>
          <a:spLocks/>
        </xdr:cNvSpPr>
      </xdr:nvSpPr>
      <xdr:spPr>
        <a:xfrm flipH="1" flipV="1">
          <a:off x="2181225" y="12954000"/>
          <a:ext cx="45720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142875</xdr:rowOff>
    </xdr:from>
    <xdr:to>
      <xdr:col>12</xdr:col>
      <xdr:colOff>28575</xdr:colOff>
      <xdr:row>59</xdr:row>
      <xdr:rowOff>133350</xdr:rowOff>
    </xdr:to>
    <xdr:sp>
      <xdr:nvSpPr>
        <xdr:cNvPr id="18" name="Line 24"/>
        <xdr:cNvSpPr>
          <a:spLocks/>
        </xdr:cNvSpPr>
      </xdr:nvSpPr>
      <xdr:spPr>
        <a:xfrm flipH="1">
          <a:off x="3562350" y="13477875"/>
          <a:ext cx="352425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</xdr:row>
      <xdr:rowOff>133350</xdr:rowOff>
    </xdr:from>
    <xdr:to>
      <xdr:col>12</xdr:col>
      <xdr:colOff>133350</xdr:colOff>
      <xdr:row>17</xdr:row>
      <xdr:rowOff>85725</xdr:rowOff>
    </xdr:to>
    <xdr:sp>
      <xdr:nvSpPr>
        <xdr:cNvPr id="1" name="Rectangle 236"/>
        <xdr:cNvSpPr>
          <a:spLocks/>
        </xdr:cNvSpPr>
      </xdr:nvSpPr>
      <xdr:spPr>
        <a:xfrm rot="19748023">
          <a:off x="3924300" y="1809750"/>
          <a:ext cx="95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6153150" y="25908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7448550" y="25908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23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6153150" y="3048000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6153150" y="99060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23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6153150" y="2590800"/>
          <a:ext cx="129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85725</xdr:colOff>
      <xdr:row>2</xdr:row>
      <xdr:rowOff>76200</xdr:rowOff>
    </xdr:from>
    <xdr:to>
      <xdr:col>25</xdr:col>
      <xdr:colOff>85725</xdr:colOff>
      <xdr:row>9</xdr:row>
      <xdr:rowOff>76200</xdr:rowOff>
    </xdr:to>
    <xdr:sp>
      <xdr:nvSpPr>
        <xdr:cNvPr id="7" name="Line 7"/>
        <xdr:cNvSpPr>
          <a:spLocks/>
        </xdr:cNvSpPr>
      </xdr:nvSpPr>
      <xdr:spPr>
        <a:xfrm>
          <a:off x="6886575" y="609600"/>
          <a:ext cx="1295400" cy="16002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76200</xdr:rowOff>
    </xdr:from>
    <xdr:to>
      <xdr:col>21</xdr:col>
      <xdr:colOff>85725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 rot="16200000" flipH="1" flipV="1">
          <a:off x="6153150" y="609600"/>
          <a:ext cx="7334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38100</xdr:colOff>
      <xdr:row>4</xdr:row>
      <xdr:rowOff>0</xdr:rowOff>
    </xdr:from>
    <xdr:to>
      <xdr:col>19</xdr:col>
      <xdr:colOff>9525</xdr:colOff>
      <xdr:row>4</xdr:row>
      <xdr:rowOff>0</xdr:rowOff>
    </xdr:to>
    <xdr:sp>
      <xdr:nvSpPr>
        <xdr:cNvPr id="9" name="Line 10"/>
        <xdr:cNvSpPr>
          <a:spLocks/>
        </xdr:cNvSpPr>
      </xdr:nvSpPr>
      <xdr:spPr>
        <a:xfrm>
          <a:off x="5543550" y="990600"/>
          <a:ext cx="619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20</xdr:col>
      <xdr:colOff>228600</xdr:colOff>
      <xdr:row>7</xdr:row>
      <xdr:rowOff>0</xdr:rowOff>
    </xdr:to>
    <xdr:sp>
      <xdr:nvSpPr>
        <xdr:cNvPr id="10" name="Line 11"/>
        <xdr:cNvSpPr>
          <a:spLocks/>
        </xdr:cNvSpPr>
      </xdr:nvSpPr>
      <xdr:spPr>
        <a:xfrm>
          <a:off x="6153150" y="990600"/>
          <a:ext cx="552450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95250</xdr:colOff>
      <xdr:row>8</xdr:row>
      <xdr:rowOff>0</xdr:rowOff>
    </xdr:from>
    <xdr:to>
      <xdr:col>23</xdr:col>
      <xdr:colOff>0</xdr:colOff>
      <xdr:row>11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6896100" y="1905000"/>
          <a:ext cx="552450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219075</xdr:colOff>
      <xdr:row>95</xdr:row>
      <xdr:rowOff>0</xdr:rowOff>
    </xdr:from>
    <xdr:to>
      <xdr:col>54</xdr:col>
      <xdr:colOff>219075</xdr:colOff>
      <xdr:row>95</xdr:row>
      <xdr:rowOff>0</xdr:rowOff>
    </xdr:to>
    <xdr:sp>
      <xdr:nvSpPr>
        <xdr:cNvPr id="12" name="Rectangle 64"/>
        <xdr:cNvSpPr>
          <a:spLocks/>
        </xdr:cNvSpPr>
      </xdr:nvSpPr>
      <xdr:spPr>
        <a:xfrm>
          <a:off x="20402550" y="21793200"/>
          <a:ext cx="971550" cy="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48</xdr:col>
      <xdr:colOff>180975</xdr:colOff>
      <xdr:row>95</xdr:row>
      <xdr:rowOff>0</xdr:rowOff>
    </xdr:from>
    <xdr:to>
      <xdr:col>57</xdr:col>
      <xdr:colOff>0</xdr:colOff>
      <xdr:row>95</xdr:row>
      <xdr:rowOff>0</xdr:rowOff>
    </xdr:to>
    <xdr:sp>
      <xdr:nvSpPr>
        <xdr:cNvPr id="13" name="Line 65"/>
        <xdr:cNvSpPr>
          <a:spLocks/>
        </xdr:cNvSpPr>
      </xdr:nvSpPr>
      <xdr:spPr>
        <a:xfrm>
          <a:off x="19392900" y="217932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95</xdr:row>
      <xdr:rowOff>0</xdr:rowOff>
    </xdr:from>
    <xdr:to>
      <xdr:col>57</xdr:col>
      <xdr:colOff>0</xdr:colOff>
      <xdr:row>95</xdr:row>
      <xdr:rowOff>0</xdr:rowOff>
    </xdr:to>
    <xdr:sp>
      <xdr:nvSpPr>
        <xdr:cNvPr id="14" name="Line 66"/>
        <xdr:cNvSpPr>
          <a:spLocks/>
        </xdr:cNvSpPr>
      </xdr:nvSpPr>
      <xdr:spPr>
        <a:xfrm>
          <a:off x="19392900" y="217932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95</xdr:row>
      <xdr:rowOff>0</xdr:rowOff>
    </xdr:from>
    <xdr:to>
      <xdr:col>57</xdr:col>
      <xdr:colOff>9525</xdr:colOff>
      <xdr:row>95</xdr:row>
      <xdr:rowOff>0</xdr:rowOff>
    </xdr:to>
    <xdr:sp>
      <xdr:nvSpPr>
        <xdr:cNvPr id="15" name="Line 67"/>
        <xdr:cNvSpPr>
          <a:spLocks/>
        </xdr:cNvSpPr>
      </xdr:nvSpPr>
      <xdr:spPr>
        <a:xfrm>
          <a:off x="19392900" y="21793200"/>
          <a:ext cx="274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95</xdr:row>
      <xdr:rowOff>0</xdr:rowOff>
    </xdr:from>
    <xdr:to>
      <xdr:col>57</xdr:col>
      <xdr:colOff>9525</xdr:colOff>
      <xdr:row>95</xdr:row>
      <xdr:rowOff>0</xdr:rowOff>
    </xdr:to>
    <xdr:sp>
      <xdr:nvSpPr>
        <xdr:cNvPr id="16" name="Line 68"/>
        <xdr:cNvSpPr>
          <a:spLocks/>
        </xdr:cNvSpPr>
      </xdr:nvSpPr>
      <xdr:spPr>
        <a:xfrm>
          <a:off x="19392900" y="21793200"/>
          <a:ext cx="274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95</xdr:row>
      <xdr:rowOff>0</xdr:rowOff>
    </xdr:from>
    <xdr:to>
      <xdr:col>56</xdr:col>
      <xdr:colOff>314325</xdr:colOff>
      <xdr:row>95</xdr:row>
      <xdr:rowOff>0</xdr:rowOff>
    </xdr:to>
    <xdr:sp>
      <xdr:nvSpPr>
        <xdr:cNvPr id="17" name="Line 69"/>
        <xdr:cNvSpPr>
          <a:spLocks/>
        </xdr:cNvSpPr>
      </xdr:nvSpPr>
      <xdr:spPr>
        <a:xfrm>
          <a:off x="19392900" y="21793200"/>
          <a:ext cx="272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180975</xdr:colOff>
      <xdr:row>95</xdr:row>
      <xdr:rowOff>0</xdr:rowOff>
    </xdr:from>
    <xdr:to>
      <xdr:col>56</xdr:col>
      <xdr:colOff>314325</xdr:colOff>
      <xdr:row>95</xdr:row>
      <xdr:rowOff>0</xdr:rowOff>
    </xdr:to>
    <xdr:sp>
      <xdr:nvSpPr>
        <xdr:cNvPr id="18" name="Line 70"/>
        <xdr:cNvSpPr>
          <a:spLocks/>
        </xdr:cNvSpPr>
      </xdr:nvSpPr>
      <xdr:spPr>
        <a:xfrm>
          <a:off x="19392900" y="21793200"/>
          <a:ext cx="272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95</xdr:row>
      <xdr:rowOff>0</xdr:rowOff>
    </xdr:from>
    <xdr:to>
      <xdr:col>56</xdr:col>
      <xdr:colOff>76200</xdr:colOff>
      <xdr:row>95</xdr:row>
      <xdr:rowOff>0</xdr:rowOff>
    </xdr:to>
    <xdr:grpSp>
      <xdr:nvGrpSpPr>
        <xdr:cNvPr id="19" name="Group 71"/>
        <xdr:cNvGrpSpPr>
          <a:grpSpLocks/>
        </xdr:cNvGrpSpPr>
      </xdr:nvGrpSpPr>
      <xdr:grpSpPr>
        <a:xfrm>
          <a:off x="21802725" y="21793200"/>
          <a:ext cx="76200" cy="0"/>
          <a:chOff x="648" y="591"/>
          <a:chExt cx="6" cy="288"/>
        </a:xfrm>
        <a:solidFill>
          <a:srgbClr val="FFFFFF"/>
        </a:solidFill>
      </xdr:grpSpPr>
      <xdr:sp>
        <xdr:nvSpPr>
          <xdr:cNvPr id="20" name="Line 72"/>
          <xdr:cNvSpPr>
            <a:spLocks/>
          </xdr:cNvSpPr>
        </xdr:nvSpPr>
        <xdr:spPr>
          <a:xfrm>
            <a:off x="654" y="591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73"/>
          <xdr:cNvSpPr>
            <a:spLocks/>
          </xdr:cNvSpPr>
        </xdr:nvSpPr>
        <xdr:spPr>
          <a:xfrm>
            <a:off x="648" y="591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74"/>
          <xdr:cNvSpPr>
            <a:spLocks/>
          </xdr:cNvSpPr>
        </xdr:nvSpPr>
        <xdr:spPr>
          <a:xfrm flipV="1">
            <a:off x="648" y="591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75"/>
          <xdr:cNvSpPr>
            <a:spLocks/>
          </xdr:cNvSpPr>
        </xdr:nvSpPr>
        <xdr:spPr>
          <a:xfrm flipV="1">
            <a:off x="648" y="87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95</xdr:row>
      <xdr:rowOff>0</xdr:rowOff>
    </xdr:from>
    <xdr:to>
      <xdr:col>53</xdr:col>
      <xdr:colOff>76200</xdr:colOff>
      <xdr:row>95</xdr:row>
      <xdr:rowOff>0</xdr:rowOff>
    </xdr:to>
    <xdr:grpSp>
      <xdr:nvGrpSpPr>
        <xdr:cNvPr id="24" name="Group 76"/>
        <xdr:cNvGrpSpPr>
          <a:grpSpLocks/>
        </xdr:cNvGrpSpPr>
      </xdr:nvGrpSpPr>
      <xdr:grpSpPr>
        <a:xfrm>
          <a:off x="20831175" y="21793200"/>
          <a:ext cx="76200" cy="0"/>
          <a:chOff x="648" y="591"/>
          <a:chExt cx="6" cy="288"/>
        </a:xfrm>
        <a:solidFill>
          <a:srgbClr val="FFFFFF"/>
        </a:solidFill>
      </xdr:grpSpPr>
      <xdr:sp>
        <xdr:nvSpPr>
          <xdr:cNvPr id="25" name="Line 77"/>
          <xdr:cNvSpPr>
            <a:spLocks/>
          </xdr:cNvSpPr>
        </xdr:nvSpPr>
        <xdr:spPr>
          <a:xfrm>
            <a:off x="654" y="591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Line 78"/>
          <xdr:cNvSpPr>
            <a:spLocks/>
          </xdr:cNvSpPr>
        </xdr:nvSpPr>
        <xdr:spPr>
          <a:xfrm>
            <a:off x="648" y="591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79"/>
          <xdr:cNvSpPr>
            <a:spLocks/>
          </xdr:cNvSpPr>
        </xdr:nvSpPr>
        <xdr:spPr>
          <a:xfrm flipV="1">
            <a:off x="648" y="591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80"/>
          <xdr:cNvSpPr>
            <a:spLocks/>
          </xdr:cNvSpPr>
        </xdr:nvSpPr>
        <xdr:spPr>
          <a:xfrm flipV="1">
            <a:off x="648" y="87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95</xdr:row>
      <xdr:rowOff>0</xdr:rowOff>
    </xdr:from>
    <xdr:to>
      <xdr:col>50</xdr:col>
      <xdr:colOff>76200</xdr:colOff>
      <xdr:row>95</xdr:row>
      <xdr:rowOff>0</xdr:rowOff>
    </xdr:to>
    <xdr:grpSp>
      <xdr:nvGrpSpPr>
        <xdr:cNvPr id="29" name="Group 81"/>
        <xdr:cNvGrpSpPr>
          <a:grpSpLocks/>
        </xdr:cNvGrpSpPr>
      </xdr:nvGrpSpPr>
      <xdr:grpSpPr>
        <a:xfrm>
          <a:off x="19859625" y="21793200"/>
          <a:ext cx="76200" cy="0"/>
          <a:chOff x="486" y="576"/>
          <a:chExt cx="6" cy="312"/>
        </a:xfrm>
        <a:solidFill>
          <a:srgbClr val="FFFFFF"/>
        </a:solidFill>
      </xdr:grpSpPr>
      <xdr:sp>
        <xdr:nvSpPr>
          <xdr:cNvPr id="30" name="Line 82"/>
          <xdr:cNvSpPr>
            <a:spLocks/>
          </xdr:cNvSpPr>
        </xdr:nvSpPr>
        <xdr:spPr>
          <a:xfrm>
            <a:off x="492" y="576"/>
            <a:ext cx="0" cy="3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Line 83"/>
          <xdr:cNvSpPr>
            <a:spLocks/>
          </xdr:cNvSpPr>
        </xdr:nvSpPr>
        <xdr:spPr>
          <a:xfrm>
            <a:off x="486" y="576"/>
            <a:ext cx="0" cy="3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84"/>
          <xdr:cNvSpPr>
            <a:spLocks/>
          </xdr:cNvSpPr>
        </xdr:nvSpPr>
        <xdr:spPr>
          <a:xfrm flipV="1">
            <a:off x="486" y="576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85"/>
          <xdr:cNvSpPr>
            <a:spLocks/>
          </xdr:cNvSpPr>
        </xdr:nvSpPr>
        <xdr:spPr>
          <a:xfrm flipV="1">
            <a:off x="486" y="88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48</xdr:col>
      <xdr:colOff>219075</xdr:colOff>
      <xdr:row>95</xdr:row>
      <xdr:rowOff>0</xdr:rowOff>
    </xdr:from>
    <xdr:to>
      <xdr:col>57</xdr:col>
      <xdr:colOff>38100</xdr:colOff>
      <xdr:row>95</xdr:row>
      <xdr:rowOff>0</xdr:rowOff>
    </xdr:to>
    <xdr:sp>
      <xdr:nvSpPr>
        <xdr:cNvPr id="34" name="Line 86"/>
        <xdr:cNvSpPr>
          <a:spLocks/>
        </xdr:cNvSpPr>
      </xdr:nvSpPr>
      <xdr:spPr>
        <a:xfrm>
          <a:off x="19431000" y="217932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219075</xdr:colOff>
      <xdr:row>95</xdr:row>
      <xdr:rowOff>0</xdr:rowOff>
    </xdr:from>
    <xdr:to>
      <xdr:col>57</xdr:col>
      <xdr:colOff>38100</xdr:colOff>
      <xdr:row>95</xdr:row>
      <xdr:rowOff>0</xdr:rowOff>
    </xdr:to>
    <xdr:sp>
      <xdr:nvSpPr>
        <xdr:cNvPr id="35" name="Line 87"/>
        <xdr:cNvSpPr>
          <a:spLocks/>
        </xdr:cNvSpPr>
      </xdr:nvSpPr>
      <xdr:spPr>
        <a:xfrm>
          <a:off x="19431000" y="217932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142875</xdr:colOff>
      <xdr:row>95</xdr:row>
      <xdr:rowOff>0</xdr:rowOff>
    </xdr:from>
    <xdr:to>
      <xdr:col>52</xdr:col>
      <xdr:colOff>0</xdr:colOff>
      <xdr:row>95</xdr:row>
      <xdr:rowOff>0</xdr:rowOff>
    </xdr:to>
    <xdr:sp>
      <xdr:nvSpPr>
        <xdr:cNvPr id="36" name="Line 88"/>
        <xdr:cNvSpPr>
          <a:spLocks/>
        </xdr:cNvSpPr>
      </xdr:nvSpPr>
      <xdr:spPr>
        <a:xfrm>
          <a:off x="20002500" y="21793200"/>
          <a:ext cx="504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47</xdr:col>
      <xdr:colOff>95250</xdr:colOff>
      <xdr:row>95</xdr:row>
      <xdr:rowOff>0</xdr:rowOff>
    </xdr:from>
    <xdr:to>
      <xdr:col>50</xdr:col>
      <xdr:colOff>142875</xdr:colOff>
      <xdr:row>95</xdr:row>
      <xdr:rowOff>0</xdr:rowOff>
    </xdr:to>
    <xdr:sp>
      <xdr:nvSpPr>
        <xdr:cNvPr id="37" name="Line 89"/>
        <xdr:cNvSpPr>
          <a:spLocks/>
        </xdr:cNvSpPr>
      </xdr:nvSpPr>
      <xdr:spPr>
        <a:xfrm>
          <a:off x="18983325" y="21793200"/>
          <a:ext cx="10191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51</xdr:col>
      <xdr:colOff>228600</xdr:colOff>
      <xdr:row>95</xdr:row>
      <xdr:rowOff>0</xdr:rowOff>
    </xdr:from>
    <xdr:to>
      <xdr:col>51</xdr:col>
      <xdr:colOff>228600</xdr:colOff>
      <xdr:row>95</xdr:row>
      <xdr:rowOff>0</xdr:rowOff>
    </xdr:to>
    <xdr:sp>
      <xdr:nvSpPr>
        <xdr:cNvPr id="38" name="Line 90"/>
        <xdr:cNvSpPr>
          <a:spLocks/>
        </xdr:cNvSpPr>
      </xdr:nvSpPr>
      <xdr:spPr>
        <a:xfrm>
          <a:off x="20412075" y="2179320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54</xdr:col>
      <xdr:colOff>228600</xdr:colOff>
      <xdr:row>95</xdr:row>
      <xdr:rowOff>0</xdr:rowOff>
    </xdr:from>
    <xdr:to>
      <xdr:col>54</xdr:col>
      <xdr:colOff>228600</xdr:colOff>
      <xdr:row>95</xdr:row>
      <xdr:rowOff>0</xdr:rowOff>
    </xdr:to>
    <xdr:sp>
      <xdr:nvSpPr>
        <xdr:cNvPr id="39" name="Line 91"/>
        <xdr:cNvSpPr>
          <a:spLocks/>
        </xdr:cNvSpPr>
      </xdr:nvSpPr>
      <xdr:spPr>
        <a:xfrm>
          <a:off x="21383625" y="2179320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219075</xdr:colOff>
      <xdr:row>95</xdr:row>
      <xdr:rowOff>0</xdr:rowOff>
    </xdr:from>
    <xdr:to>
      <xdr:col>57</xdr:col>
      <xdr:colOff>38100</xdr:colOff>
      <xdr:row>95</xdr:row>
      <xdr:rowOff>0</xdr:rowOff>
    </xdr:to>
    <xdr:sp>
      <xdr:nvSpPr>
        <xdr:cNvPr id="40" name="Line 92"/>
        <xdr:cNvSpPr>
          <a:spLocks/>
        </xdr:cNvSpPr>
      </xdr:nvSpPr>
      <xdr:spPr>
        <a:xfrm>
          <a:off x="19431000" y="217932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48</xdr:col>
      <xdr:colOff>219075</xdr:colOff>
      <xdr:row>95</xdr:row>
      <xdr:rowOff>0</xdr:rowOff>
    </xdr:from>
    <xdr:to>
      <xdr:col>57</xdr:col>
      <xdr:colOff>38100</xdr:colOff>
      <xdr:row>95</xdr:row>
      <xdr:rowOff>0</xdr:rowOff>
    </xdr:to>
    <xdr:sp>
      <xdr:nvSpPr>
        <xdr:cNvPr id="41" name="Line 93"/>
        <xdr:cNvSpPr>
          <a:spLocks/>
        </xdr:cNvSpPr>
      </xdr:nvSpPr>
      <xdr:spPr>
        <a:xfrm>
          <a:off x="19431000" y="217932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190500</xdr:colOff>
      <xdr:row>5</xdr:row>
      <xdr:rowOff>114300</xdr:rowOff>
    </xdr:from>
    <xdr:to>
      <xdr:col>9</xdr:col>
      <xdr:colOff>276225</xdr:colOff>
      <xdr:row>17</xdr:row>
      <xdr:rowOff>19050</xdr:rowOff>
    </xdr:to>
    <xdr:sp>
      <xdr:nvSpPr>
        <xdr:cNvPr id="42" name="Rectangle 213"/>
        <xdr:cNvSpPr>
          <a:spLocks/>
        </xdr:cNvSpPr>
      </xdr:nvSpPr>
      <xdr:spPr>
        <a:xfrm>
          <a:off x="3105150" y="1333500"/>
          <a:ext cx="85725" cy="2647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38100</xdr:rowOff>
    </xdr:from>
    <xdr:to>
      <xdr:col>17</xdr:col>
      <xdr:colOff>57150</xdr:colOff>
      <xdr:row>16</xdr:row>
      <xdr:rowOff>38100</xdr:rowOff>
    </xdr:to>
    <xdr:sp>
      <xdr:nvSpPr>
        <xdr:cNvPr id="43" name="Line 214"/>
        <xdr:cNvSpPr>
          <a:spLocks/>
        </xdr:cNvSpPr>
      </xdr:nvSpPr>
      <xdr:spPr>
        <a:xfrm>
          <a:off x="3019425" y="377190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95250</xdr:rowOff>
    </xdr:from>
    <xdr:to>
      <xdr:col>17</xdr:col>
      <xdr:colOff>57150</xdr:colOff>
      <xdr:row>16</xdr:row>
      <xdr:rowOff>95250</xdr:rowOff>
    </xdr:to>
    <xdr:sp>
      <xdr:nvSpPr>
        <xdr:cNvPr id="44" name="Line 215"/>
        <xdr:cNvSpPr>
          <a:spLocks/>
        </xdr:cNvSpPr>
      </xdr:nvSpPr>
      <xdr:spPr>
        <a:xfrm flipV="1">
          <a:off x="3019425" y="382905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38100</xdr:rowOff>
    </xdr:from>
    <xdr:to>
      <xdr:col>9</xdr:col>
      <xdr:colOff>104775</xdr:colOff>
      <xdr:row>16</xdr:row>
      <xdr:rowOff>95250</xdr:rowOff>
    </xdr:to>
    <xdr:sp>
      <xdr:nvSpPr>
        <xdr:cNvPr id="45" name="Line 216"/>
        <xdr:cNvSpPr>
          <a:spLocks/>
        </xdr:cNvSpPr>
      </xdr:nvSpPr>
      <xdr:spPr>
        <a:xfrm>
          <a:off x="3019425" y="37719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15</xdr:row>
      <xdr:rowOff>190500</xdr:rowOff>
    </xdr:from>
    <xdr:to>
      <xdr:col>10</xdr:col>
      <xdr:colOff>47625</xdr:colOff>
      <xdr:row>16</xdr:row>
      <xdr:rowOff>38100</xdr:rowOff>
    </xdr:to>
    <xdr:sp>
      <xdr:nvSpPr>
        <xdr:cNvPr id="46" name="Oval 217"/>
        <xdr:cNvSpPr>
          <a:spLocks/>
        </xdr:cNvSpPr>
      </xdr:nvSpPr>
      <xdr:spPr>
        <a:xfrm flipH="1">
          <a:off x="3190875" y="36957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13</xdr:row>
      <xdr:rowOff>190500</xdr:rowOff>
    </xdr:from>
    <xdr:to>
      <xdr:col>10</xdr:col>
      <xdr:colOff>47625</xdr:colOff>
      <xdr:row>14</xdr:row>
      <xdr:rowOff>38100</xdr:rowOff>
    </xdr:to>
    <xdr:sp>
      <xdr:nvSpPr>
        <xdr:cNvPr id="47" name="Oval 218"/>
        <xdr:cNvSpPr>
          <a:spLocks/>
        </xdr:cNvSpPr>
      </xdr:nvSpPr>
      <xdr:spPr>
        <a:xfrm>
          <a:off x="3190875" y="32385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48" name="Line 219"/>
        <xdr:cNvSpPr>
          <a:spLocks/>
        </xdr:cNvSpPr>
      </xdr:nvSpPr>
      <xdr:spPr>
        <a:xfrm flipH="1">
          <a:off x="1619250" y="2819400"/>
          <a:ext cx="647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57150</xdr:colOff>
      <xdr:row>16</xdr:row>
      <xdr:rowOff>0</xdr:rowOff>
    </xdr:from>
    <xdr:to>
      <xdr:col>11</xdr:col>
      <xdr:colOff>219075</xdr:colOff>
      <xdr:row>16</xdr:row>
      <xdr:rowOff>38100</xdr:rowOff>
    </xdr:to>
    <xdr:grpSp>
      <xdr:nvGrpSpPr>
        <xdr:cNvPr id="49" name="Group 220"/>
        <xdr:cNvGrpSpPr>
          <a:grpSpLocks/>
        </xdr:cNvGrpSpPr>
      </xdr:nvGrpSpPr>
      <xdr:grpSpPr>
        <a:xfrm>
          <a:off x="3295650" y="3733800"/>
          <a:ext cx="485775" cy="38100"/>
          <a:chOff x="-1803" y="-401564"/>
          <a:chExt cx="11466" cy="33"/>
        </a:xfrm>
        <a:solidFill>
          <a:srgbClr val="FFFFFF"/>
        </a:solidFill>
      </xdr:grpSpPr>
      <xdr:sp>
        <xdr:nvSpPr>
          <xdr:cNvPr id="50" name="Rectangle 221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Rectangle 222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11</xdr:col>
      <xdr:colOff>190500</xdr:colOff>
      <xdr:row>16</xdr:row>
      <xdr:rowOff>0</xdr:rowOff>
    </xdr:from>
    <xdr:to>
      <xdr:col>13</xdr:col>
      <xdr:colOff>57150</xdr:colOff>
      <xdr:row>16</xdr:row>
      <xdr:rowOff>38100</xdr:rowOff>
    </xdr:to>
    <xdr:grpSp>
      <xdr:nvGrpSpPr>
        <xdr:cNvPr id="52" name="Group 223"/>
        <xdr:cNvGrpSpPr>
          <a:grpSpLocks/>
        </xdr:cNvGrpSpPr>
      </xdr:nvGrpSpPr>
      <xdr:grpSpPr>
        <a:xfrm>
          <a:off x="3752850" y="3733800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53" name="Rectangle 224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Rectangle 225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16</xdr:row>
      <xdr:rowOff>0</xdr:rowOff>
    </xdr:from>
    <xdr:to>
      <xdr:col>14</xdr:col>
      <xdr:colOff>219075</xdr:colOff>
      <xdr:row>16</xdr:row>
      <xdr:rowOff>38100</xdr:rowOff>
    </xdr:to>
    <xdr:grpSp>
      <xdr:nvGrpSpPr>
        <xdr:cNvPr id="55" name="Group 226"/>
        <xdr:cNvGrpSpPr>
          <a:grpSpLocks/>
        </xdr:cNvGrpSpPr>
      </xdr:nvGrpSpPr>
      <xdr:grpSpPr>
        <a:xfrm>
          <a:off x="4267200" y="3733800"/>
          <a:ext cx="485775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56" name="Rectangle 227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Rectangle 228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200025</xdr:colOff>
      <xdr:row>16</xdr:row>
      <xdr:rowOff>0</xdr:rowOff>
    </xdr:from>
    <xdr:to>
      <xdr:col>16</xdr:col>
      <xdr:colOff>57150</xdr:colOff>
      <xdr:row>16</xdr:row>
      <xdr:rowOff>38100</xdr:rowOff>
    </xdr:to>
    <xdr:grpSp>
      <xdr:nvGrpSpPr>
        <xdr:cNvPr id="58" name="Group 229"/>
        <xdr:cNvGrpSpPr>
          <a:grpSpLocks/>
        </xdr:cNvGrpSpPr>
      </xdr:nvGrpSpPr>
      <xdr:grpSpPr>
        <a:xfrm>
          <a:off x="4733925" y="3733800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59" name="Rectangle 230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Rectangle 231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6</xdr:row>
      <xdr:rowOff>0</xdr:rowOff>
    </xdr:from>
    <xdr:to>
      <xdr:col>7</xdr:col>
      <xdr:colOff>200025</xdr:colOff>
      <xdr:row>6</xdr:row>
      <xdr:rowOff>0</xdr:rowOff>
    </xdr:to>
    <xdr:sp>
      <xdr:nvSpPr>
        <xdr:cNvPr id="61" name="Line 232"/>
        <xdr:cNvSpPr>
          <a:spLocks/>
        </xdr:cNvSpPr>
      </xdr:nvSpPr>
      <xdr:spPr>
        <a:xfrm flipH="1">
          <a:off x="1619250" y="1447800"/>
          <a:ext cx="847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190500</xdr:rowOff>
    </xdr:from>
    <xdr:to>
      <xdr:col>10</xdr:col>
      <xdr:colOff>85725</xdr:colOff>
      <xdr:row>15</xdr:row>
      <xdr:rowOff>190500</xdr:rowOff>
    </xdr:to>
    <xdr:sp>
      <xdr:nvSpPr>
        <xdr:cNvPr id="62" name="Rectangle 233"/>
        <xdr:cNvSpPr>
          <a:spLocks/>
        </xdr:cNvSpPr>
      </xdr:nvSpPr>
      <xdr:spPr>
        <a:xfrm>
          <a:off x="3286125" y="2781300"/>
          <a:ext cx="381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11</xdr:row>
      <xdr:rowOff>219075</xdr:rowOff>
    </xdr:to>
    <xdr:sp>
      <xdr:nvSpPr>
        <xdr:cNvPr id="63" name="Line 234"/>
        <xdr:cNvSpPr>
          <a:spLocks/>
        </xdr:cNvSpPr>
      </xdr:nvSpPr>
      <xdr:spPr>
        <a:xfrm>
          <a:off x="1619250" y="1447800"/>
          <a:ext cx="0" cy="13620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11</xdr:row>
      <xdr:rowOff>190500</xdr:rowOff>
    </xdr:from>
    <xdr:to>
      <xdr:col>10</xdr:col>
      <xdr:colOff>47625</xdr:colOff>
      <xdr:row>12</xdr:row>
      <xdr:rowOff>38100</xdr:rowOff>
    </xdr:to>
    <xdr:sp>
      <xdr:nvSpPr>
        <xdr:cNvPr id="64" name="Oval 235"/>
        <xdr:cNvSpPr>
          <a:spLocks/>
        </xdr:cNvSpPr>
      </xdr:nvSpPr>
      <xdr:spPr>
        <a:xfrm>
          <a:off x="3190875" y="27813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>
      <xdr:nvSpPr>
        <xdr:cNvPr id="65" name="Line 237"/>
        <xdr:cNvSpPr>
          <a:spLocks/>
        </xdr:cNvSpPr>
      </xdr:nvSpPr>
      <xdr:spPr>
        <a:xfrm flipH="1" flipV="1">
          <a:off x="4857750" y="3048000"/>
          <a:ext cx="971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295275</xdr:colOff>
      <xdr:row>13</xdr:row>
      <xdr:rowOff>0</xdr:rowOff>
    </xdr:from>
    <xdr:to>
      <xdr:col>15</xdr:col>
      <xdr:colOff>0</xdr:colOff>
      <xdr:row>15</xdr:row>
      <xdr:rowOff>28575</xdr:rowOff>
    </xdr:to>
    <xdr:sp>
      <xdr:nvSpPr>
        <xdr:cNvPr id="66" name="Line 238"/>
        <xdr:cNvSpPr>
          <a:spLocks/>
        </xdr:cNvSpPr>
      </xdr:nvSpPr>
      <xdr:spPr>
        <a:xfrm flipH="1">
          <a:off x="4505325" y="3048000"/>
          <a:ext cx="3524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5</xdr:row>
      <xdr:rowOff>190500</xdr:rowOff>
    </xdr:from>
    <xdr:to>
      <xdr:col>10</xdr:col>
      <xdr:colOff>47625</xdr:colOff>
      <xdr:row>6</xdr:row>
      <xdr:rowOff>38100</xdr:rowOff>
    </xdr:to>
    <xdr:sp>
      <xdr:nvSpPr>
        <xdr:cNvPr id="67" name="Oval 239"/>
        <xdr:cNvSpPr>
          <a:spLocks/>
        </xdr:cNvSpPr>
      </xdr:nvSpPr>
      <xdr:spPr>
        <a:xfrm>
          <a:off x="3190875" y="14097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8</xdr:row>
      <xdr:rowOff>190500</xdr:rowOff>
    </xdr:from>
    <xdr:to>
      <xdr:col>10</xdr:col>
      <xdr:colOff>47625</xdr:colOff>
      <xdr:row>9</xdr:row>
      <xdr:rowOff>38100</xdr:rowOff>
    </xdr:to>
    <xdr:sp>
      <xdr:nvSpPr>
        <xdr:cNvPr id="68" name="Oval 240"/>
        <xdr:cNvSpPr>
          <a:spLocks/>
        </xdr:cNvSpPr>
      </xdr:nvSpPr>
      <xdr:spPr>
        <a:xfrm>
          <a:off x="3190875" y="20955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152400</xdr:colOff>
      <xdr:row>9</xdr:row>
      <xdr:rowOff>9525</xdr:rowOff>
    </xdr:to>
    <xdr:grpSp>
      <xdr:nvGrpSpPr>
        <xdr:cNvPr id="69" name="Group 271"/>
        <xdr:cNvGrpSpPr>
          <a:grpSpLocks/>
        </xdr:cNvGrpSpPr>
      </xdr:nvGrpSpPr>
      <xdr:grpSpPr>
        <a:xfrm>
          <a:off x="2590800" y="1447800"/>
          <a:ext cx="476250" cy="695325"/>
          <a:chOff x="216" y="120"/>
          <a:chExt cx="40" cy="73"/>
        </a:xfrm>
        <a:solidFill>
          <a:srgbClr val="FFFFFF"/>
        </a:solidFill>
      </xdr:grpSpPr>
      <xdr:sp>
        <xdr:nvSpPr>
          <xdr:cNvPr id="70" name="Line 243"/>
          <xdr:cNvSpPr>
            <a:spLocks/>
          </xdr:cNvSpPr>
        </xdr:nvSpPr>
        <xdr:spPr>
          <a:xfrm>
            <a:off x="217" y="13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244"/>
          <xdr:cNvSpPr>
            <a:spLocks/>
          </xdr:cNvSpPr>
        </xdr:nvSpPr>
        <xdr:spPr>
          <a:xfrm>
            <a:off x="217" y="15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245"/>
          <xdr:cNvSpPr>
            <a:spLocks/>
          </xdr:cNvSpPr>
        </xdr:nvSpPr>
        <xdr:spPr>
          <a:xfrm>
            <a:off x="217" y="120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246"/>
          <xdr:cNvSpPr>
            <a:spLocks/>
          </xdr:cNvSpPr>
        </xdr:nvSpPr>
        <xdr:spPr>
          <a:xfrm>
            <a:off x="217" y="1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247"/>
          <xdr:cNvSpPr>
            <a:spLocks/>
          </xdr:cNvSpPr>
        </xdr:nvSpPr>
        <xdr:spPr>
          <a:xfrm flipH="1">
            <a:off x="216" y="120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248"/>
          <xdr:cNvSpPr>
            <a:spLocks/>
          </xdr:cNvSpPr>
        </xdr:nvSpPr>
        <xdr:spPr>
          <a:xfrm>
            <a:off x="216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249"/>
          <xdr:cNvSpPr>
            <a:spLocks/>
          </xdr:cNvSpPr>
        </xdr:nvSpPr>
        <xdr:spPr>
          <a:xfrm>
            <a:off x="217" y="180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250"/>
          <xdr:cNvSpPr>
            <a:spLocks/>
          </xdr:cNvSpPr>
        </xdr:nvSpPr>
        <xdr:spPr>
          <a:xfrm>
            <a:off x="217" y="19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12</xdr:row>
      <xdr:rowOff>0</xdr:rowOff>
    </xdr:from>
    <xdr:to>
      <xdr:col>9</xdr:col>
      <xdr:colOff>152400</xdr:colOff>
      <xdr:row>12</xdr:row>
      <xdr:rowOff>0</xdr:rowOff>
    </xdr:to>
    <xdr:sp>
      <xdr:nvSpPr>
        <xdr:cNvPr id="78" name="Line 257"/>
        <xdr:cNvSpPr>
          <a:spLocks/>
        </xdr:cNvSpPr>
      </xdr:nvSpPr>
      <xdr:spPr>
        <a:xfrm>
          <a:off x="2409825" y="2819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12</xdr:row>
      <xdr:rowOff>114300</xdr:rowOff>
    </xdr:from>
    <xdr:to>
      <xdr:col>9</xdr:col>
      <xdr:colOff>152400</xdr:colOff>
      <xdr:row>12</xdr:row>
      <xdr:rowOff>114300</xdr:rowOff>
    </xdr:to>
    <xdr:sp>
      <xdr:nvSpPr>
        <xdr:cNvPr id="79" name="Line 258"/>
        <xdr:cNvSpPr>
          <a:spLocks/>
        </xdr:cNvSpPr>
      </xdr:nvSpPr>
      <xdr:spPr>
        <a:xfrm>
          <a:off x="2419350" y="2933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114300</xdr:rowOff>
    </xdr:from>
    <xdr:to>
      <xdr:col>9</xdr:col>
      <xdr:colOff>152400</xdr:colOff>
      <xdr:row>13</xdr:row>
      <xdr:rowOff>114300</xdr:rowOff>
    </xdr:to>
    <xdr:sp>
      <xdr:nvSpPr>
        <xdr:cNvPr id="80" name="Line 261"/>
        <xdr:cNvSpPr>
          <a:spLocks/>
        </xdr:cNvSpPr>
      </xdr:nvSpPr>
      <xdr:spPr>
        <a:xfrm>
          <a:off x="2419350" y="3162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14</xdr:row>
      <xdr:rowOff>114300</xdr:rowOff>
    </xdr:from>
    <xdr:to>
      <xdr:col>9</xdr:col>
      <xdr:colOff>152400</xdr:colOff>
      <xdr:row>14</xdr:row>
      <xdr:rowOff>114300</xdr:rowOff>
    </xdr:to>
    <xdr:sp>
      <xdr:nvSpPr>
        <xdr:cNvPr id="81" name="Line 262"/>
        <xdr:cNvSpPr>
          <a:spLocks/>
        </xdr:cNvSpPr>
      </xdr:nvSpPr>
      <xdr:spPr>
        <a:xfrm>
          <a:off x="2419350" y="3390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0</xdr:rowOff>
    </xdr:from>
    <xdr:to>
      <xdr:col>9</xdr:col>
      <xdr:colOff>152400</xdr:colOff>
      <xdr:row>13</xdr:row>
      <xdr:rowOff>0</xdr:rowOff>
    </xdr:to>
    <xdr:sp>
      <xdr:nvSpPr>
        <xdr:cNvPr id="82" name="Line 263"/>
        <xdr:cNvSpPr>
          <a:spLocks/>
        </xdr:cNvSpPr>
      </xdr:nvSpPr>
      <xdr:spPr>
        <a:xfrm>
          <a:off x="2419350" y="3048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14</xdr:row>
      <xdr:rowOff>0</xdr:rowOff>
    </xdr:from>
    <xdr:to>
      <xdr:col>9</xdr:col>
      <xdr:colOff>152400</xdr:colOff>
      <xdr:row>14</xdr:row>
      <xdr:rowOff>0</xdr:rowOff>
    </xdr:to>
    <xdr:sp>
      <xdr:nvSpPr>
        <xdr:cNvPr id="83" name="Line 264"/>
        <xdr:cNvSpPr>
          <a:spLocks/>
        </xdr:cNvSpPr>
      </xdr:nvSpPr>
      <xdr:spPr>
        <a:xfrm>
          <a:off x="2419350" y="3276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142875</xdr:colOff>
      <xdr:row>12</xdr:row>
      <xdr:rowOff>0</xdr:rowOff>
    </xdr:from>
    <xdr:to>
      <xdr:col>7</xdr:col>
      <xdr:colOff>142875</xdr:colOff>
      <xdr:row>16</xdr:row>
      <xdr:rowOff>0</xdr:rowOff>
    </xdr:to>
    <xdr:sp>
      <xdr:nvSpPr>
        <xdr:cNvPr id="84" name="Line 265"/>
        <xdr:cNvSpPr>
          <a:spLocks/>
        </xdr:cNvSpPr>
      </xdr:nvSpPr>
      <xdr:spPr>
        <a:xfrm flipH="1">
          <a:off x="2409825" y="2819400"/>
          <a:ext cx="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142875</xdr:colOff>
      <xdr:row>15</xdr:row>
      <xdr:rowOff>0</xdr:rowOff>
    </xdr:from>
    <xdr:to>
      <xdr:col>9</xdr:col>
      <xdr:colOff>152400</xdr:colOff>
      <xdr:row>15</xdr:row>
      <xdr:rowOff>0</xdr:rowOff>
    </xdr:to>
    <xdr:sp>
      <xdr:nvSpPr>
        <xdr:cNvPr id="85" name="Line 266"/>
        <xdr:cNvSpPr>
          <a:spLocks/>
        </xdr:cNvSpPr>
      </xdr:nvSpPr>
      <xdr:spPr>
        <a:xfrm>
          <a:off x="2409825" y="3505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15</xdr:row>
      <xdr:rowOff>114300</xdr:rowOff>
    </xdr:from>
    <xdr:to>
      <xdr:col>9</xdr:col>
      <xdr:colOff>142875</xdr:colOff>
      <xdr:row>15</xdr:row>
      <xdr:rowOff>114300</xdr:rowOff>
    </xdr:to>
    <xdr:sp>
      <xdr:nvSpPr>
        <xdr:cNvPr id="86" name="Line 267"/>
        <xdr:cNvSpPr>
          <a:spLocks/>
        </xdr:cNvSpPr>
      </xdr:nvSpPr>
      <xdr:spPr>
        <a:xfrm>
          <a:off x="2419350" y="3619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16</xdr:row>
      <xdr:rowOff>0</xdr:rowOff>
    </xdr:from>
    <xdr:to>
      <xdr:col>9</xdr:col>
      <xdr:colOff>142875</xdr:colOff>
      <xdr:row>16</xdr:row>
      <xdr:rowOff>0</xdr:rowOff>
    </xdr:to>
    <xdr:sp>
      <xdr:nvSpPr>
        <xdr:cNvPr id="87" name="Line 268"/>
        <xdr:cNvSpPr>
          <a:spLocks/>
        </xdr:cNvSpPr>
      </xdr:nvSpPr>
      <xdr:spPr>
        <a:xfrm>
          <a:off x="2419350" y="3733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152400</xdr:colOff>
      <xdr:row>12</xdr:row>
      <xdr:rowOff>9525</xdr:rowOff>
    </xdr:to>
    <xdr:grpSp>
      <xdr:nvGrpSpPr>
        <xdr:cNvPr id="88" name="Group 272"/>
        <xdr:cNvGrpSpPr>
          <a:grpSpLocks/>
        </xdr:cNvGrpSpPr>
      </xdr:nvGrpSpPr>
      <xdr:grpSpPr>
        <a:xfrm>
          <a:off x="2590800" y="2133600"/>
          <a:ext cx="476250" cy="695325"/>
          <a:chOff x="216" y="120"/>
          <a:chExt cx="40" cy="73"/>
        </a:xfrm>
        <a:solidFill>
          <a:srgbClr val="FFFFFF"/>
        </a:solidFill>
      </xdr:grpSpPr>
      <xdr:sp>
        <xdr:nvSpPr>
          <xdr:cNvPr id="89" name="Line 273"/>
          <xdr:cNvSpPr>
            <a:spLocks/>
          </xdr:cNvSpPr>
        </xdr:nvSpPr>
        <xdr:spPr>
          <a:xfrm>
            <a:off x="217" y="13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0" name="Line 274"/>
          <xdr:cNvSpPr>
            <a:spLocks/>
          </xdr:cNvSpPr>
        </xdr:nvSpPr>
        <xdr:spPr>
          <a:xfrm>
            <a:off x="217" y="15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1" name="Line 275"/>
          <xdr:cNvSpPr>
            <a:spLocks/>
          </xdr:cNvSpPr>
        </xdr:nvSpPr>
        <xdr:spPr>
          <a:xfrm>
            <a:off x="217" y="120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2" name="Line 276"/>
          <xdr:cNvSpPr>
            <a:spLocks/>
          </xdr:cNvSpPr>
        </xdr:nvSpPr>
        <xdr:spPr>
          <a:xfrm>
            <a:off x="217" y="1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3" name="Line 277"/>
          <xdr:cNvSpPr>
            <a:spLocks/>
          </xdr:cNvSpPr>
        </xdr:nvSpPr>
        <xdr:spPr>
          <a:xfrm flipH="1">
            <a:off x="216" y="120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Line 278"/>
          <xdr:cNvSpPr>
            <a:spLocks/>
          </xdr:cNvSpPr>
        </xdr:nvSpPr>
        <xdr:spPr>
          <a:xfrm>
            <a:off x="216" y="16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Line 279"/>
          <xdr:cNvSpPr>
            <a:spLocks/>
          </xdr:cNvSpPr>
        </xdr:nvSpPr>
        <xdr:spPr>
          <a:xfrm>
            <a:off x="217" y="180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Line 280"/>
          <xdr:cNvSpPr>
            <a:spLocks/>
          </xdr:cNvSpPr>
        </xdr:nvSpPr>
        <xdr:spPr>
          <a:xfrm>
            <a:off x="217" y="19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97" name="Line 281"/>
        <xdr:cNvSpPr>
          <a:spLocks/>
        </xdr:cNvSpPr>
      </xdr:nvSpPr>
      <xdr:spPr>
        <a:xfrm flipH="1">
          <a:off x="971550" y="3733800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5</xdr:col>
      <xdr:colOff>0</xdr:colOff>
      <xdr:row>16</xdr:row>
      <xdr:rowOff>0</xdr:rowOff>
    </xdr:to>
    <xdr:sp>
      <xdr:nvSpPr>
        <xdr:cNvPr id="98" name="Line 282"/>
        <xdr:cNvSpPr>
          <a:spLocks/>
        </xdr:cNvSpPr>
      </xdr:nvSpPr>
      <xdr:spPr>
        <a:xfrm>
          <a:off x="1619250" y="2828925"/>
          <a:ext cx="0" cy="9048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276225</xdr:colOff>
      <xdr:row>9</xdr:row>
      <xdr:rowOff>0</xdr:rowOff>
    </xdr:from>
    <xdr:to>
      <xdr:col>12</xdr:col>
      <xdr:colOff>247650</xdr:colOff>
      <xdr:row>9</xdr:row>
      <xdr:rowOff>0</xdr:rowOff>
    </xdr:to>
    <xdr:sp>
      <xdr:nvSpPr>
        <xdr:cNvPr id="99" name="Line 283"/>
        <xdr:cNvSpPr>
          <a:spLocks/>
        </xdr:cNvSpPr>
      </xdr:nvSpPr>
      <xdr:spPr>
        <a:xfrm>
          <a:off x="3514725" y="2133600"/>
          <a:ext cx="619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7</xdr:col>
      <xdr:colOff>200025</xdr:colOff>
      <xdr:row>9</xdr:row>
      <xdr:rowOff>0</xdr:rowOff>
    </xdr:to>
    <xdr:sp>
      <xdr:nvSpPr>
        <xdr:cNvPr id="100" name="Line 284"/>
        <xdr:cNvSpPr>
          <a:spLocks/>
        </xdr:cNvSpPr>
      </xdr:nvSpPr>
      <xdr:spPr>
        <a:xfrm flipH="1">
          <a:off x="971550" y="2133600"/>
          <a:ext cx="1495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</xdr:rowOff>
    </xdr:from>
    <xdr:to>
      <xdr:col>3</xdr:col>
      <xdr:colOff>0</xdr:colOff>
      <xdr:row>16</xdr:row>
      <xdr:rowOff>0</xdr:rowOff>
    </xdr:to>
    <xdr:sp>
      <xdr:nvSpPr>
        <xdr:cNvPr id="101" name="Line 286"/>
        <xdr:cNvSpPr>
          <a:spLocks/>
        </xdr:cNvSpPr>
      </xdr:nvSpPr>
      <xdr:spPr>
        <a:xfrm>
          <a:off x="971550" y="2143125"/>
          <a:ext cx="0" cy="15906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20</xdr:row>
      <xdr:rowOff>0</xdr:rowOff>
    </xdr:to>
    <xdr:sp>
      <xdr:nvSpPr>
        <xdr:cNvPr id="102" name="Line 287"/>
        <xdr:cNvSpPr>
          <a:spLocks/>
        </xdr:cNvSpPr>
      </xdr:nvSpPr>
      <xdr:spPr>
        <a:xfrm flipH="1">
          <a:off x="3238500" y="3962400"/>
          <a:ext cx="0" cy="685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85725</xdr:rowOff>
    </xdr:from>
    <xdr:to>
      <xdr:col>14</xdr:col>
      <xdr:colOff>0</xdr:colOff>
      <xdr:row>20</xdr:row>
      <xdr:rowOff>0</xdr:rowOff>
    </xdr:to>
    <xdr:sp>
      <xdr:nvSpPr>
        <xdr:cNvPr id="103" name="Line 288"/>
        <xdr:cNvSpPr>
          <a:spLocks/>
        </xdr:cNvSpPr>
      </xdr:nvSpPr>
      <xdr:spPr>
        <a:xfrm flipH="1">
          <a:off x="4533900" y="4048125"/>
          <a:ext cx="0" cy="600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04" name="Line 289"/>
        <xdr:cNvSpPr>
          <a:spLocks/>
        </xdr:cNvSpPr>
      </xdr:nvSpPr>
      <xdr:spPr>
        <a:xfrm>
          <a:off x="3238500" y="4648200"/>
          <a:ext cx="129540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76200</xdr:rowOff>
    </xdr:from>
    <xdr:to>
      <xdr:col>25</xdr:col>
      <xdr:colOff>85725</xdr:colOff>
      <xdr:row>11</xdr:row>
      <xdr:rowOff>0</xdr:rowOff>
    </xdr:to>
    <xdr:sp>
      <xdr:nvSpPr>
        <xdr:cNvPr id="105" name="Line 290"/>
        <xdr:cNvSpPr>
          <a:spLocks/>
        </xdr:cNvSpPr>
      </xdr:nvSpPr>
      <xdr:spPr>
        <a:xfrm rot="16200000" flipH="1" flipV="1">
          <a:off x="7448550" y="2209800"/>
          <a:ext cx="7334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190500</xdr:rowOff>
    </xdr:from>
    <xdr:to>
      <xdr:col>17</xdr:col>
      <xdr:colOff>123825</xdr:colOff>
      <xdr:row>14</xdr:row>
      <xdr:rowOff>114300</xdr:rowOff>
    </xdr:to>
    <xdr:sp>
      <xdr:nvSpPr>
        <xdr:cNvPr id="106" name="Line 291"/>
        <xdr:cNvSpPr>
          <a:spLocks/>
        </xdr:cNvSpPr>
      </xdr:nvSpPr>
      <xdr:spPr>
        <a:xfrm>
          <a:off x="4210050" y="1638300"/>
          <a:ext cx="1419225" cy="17526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238125</xdr:colOff>
      <xdr:row>6</xdr:row>
      <xdr:rowOff>190500</xdr:rowOff>
    </xdr:from>
    <xdr:to>
      <xdr:col>13</xdr:col>
      <xdr:colOff>0</xdr:colOff>
      <xdr:row>8</xdr:row>
      <xdr:rowOff>114300</xdr:rowOff>
    </xdr:to>
    <xdr:sp>
      <xdr:nvSpPr>
        <xdr:cNvPr id="107" name="Line 292"/>
        <xdr:cNvSpPr>
          <a:spLocks/>
        </xdr:cNvSpPr>
      </xdr:nvSpPr>
      <xdr:spPr>
        <a:xfrm rot="16200000" flipH="1" flipV="1">
          <a:off x="3476625" y="1638300"/>
          <a:ext cx="7334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104775</xdr:rowOff>
    </xdr:from>
    <xdr:to>
      <xdr:col>17</xdr:col>
      <xdr:colOff>123825</xdr:colOff>
      <xdr:row>16</xdr:row>
      <xdr:rowOff>28575</xdr:rowOff>
    </xdr:to>
    <xdr:sp>
      <xdr:nvSpPr>
        <xdr:cNvPr id="108" name="Line 293"/>
        <xdr:cNvSpPr>
          <a:spLocks/>
        </xdr:cNvSpPr>
      </xdr:nvSpPr>
      <xdr:spPr>
        <a:xfrm rot="16200000" flipH="1" flipV="1">
          <a:off x="4895850" y="3381375"/>
          <a:ext cx="7334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219075</xdr:rowOff>
    </xdr:from>
    <xdr:to>
      <xdr:col>10</xdr:col>
      <xdr:colOff>295275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28825" y="1133475"/>
          <a:ext cx="1562100" cy="1028700"/>
        </a:xfrm>
        <a:custGeom>
          <a:pathLst>
            <a:path h="108" w="124">
              <a:moveTo>
                <a:pt x="0" y="74"/>
              </a:moveTo>
              <a:cubicBezTo>
                <a:pt x="0" y="65"/>
                <a:pt x="0" y="29"/>
                <a:pt x="0" y="17"/>
              </a:cubicBezTo>
              <a:cubicBezTo>
                <a:pt x="0" y="5"/>
                <a:pt x="3" y="0"/>
                <a:pt x="16" y="0"/>
              </a:cubicBezTo>
              <a:cubicBezTo>
                <a:pt x="29" y="0"/>
                <a:pt x="102" y="0"/>
                <a:pt x="111" y="1"/>
              </a:cubicBezTo>
              <a:cubicBezTo>
                <a:pt x="120" y="2"/>
                <a:pt x="124" y="8"/>
                <a:pt x="124" y="18"/>
              </a:cubicBezTo>
              <a:cubicBezTo>
                <a:pt x="124" y="28"/>
                <a:pt x="124" y="89"/>
                <a:pt x="124" y="108"/>
              </a:cubicBez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295275</xdr:colOff>
      <xdr:row>8</xdr:row>
      <xdr:rowOff>133350</xdr:rowOff>
    </xdr:from>
    <xdr:to>
      <xdr:col>11</xdr:col>
      <xdr:colOff>276225</xdr:colOff>
      <xdr:row>10</xdr:row>
      <xdr:rowOff>0</xdr:rowOff>
    </xdr:to>
    <xdr:sp>
      <xdr:nvSpPr>
        <xdr:cNvPr id="2" name="Oval 2"/>
        <xdr:cNvSpPr>
          <a:spLocks/>
        </xdr:cNvSpPr>
      </xdr:nvSpPr>
      <xdr:spPr>
        <a:xfrm>
          <a:off x="3590925" y="1962150"/>
          <a:ext cx="323850" cy="323850"/>
        </a:xfrm>
        <a:prstGeom prst="ellipse">
          <a:avLst/>
        </a:prstGeom>
        <a:solidFill>
          <a:srgbClr val="FFFFFF"/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142875</xdr:colOff>
      <xdr:row>8</xdr:row>
      <xdr:rowOff>66675</xdr:rowOff>
    </xdr:from>
    <xdr:to>
      <xdr:col>6</xdr:col>
      <xdr:colOff>142875</xdr:colOff>
      <xdr:row>10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2066925" y="1895475"/>
          <a:ext cx="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9</xdr:row>
      <xdr:rowOff>180975</xdr:rowOff>
    </xdr:from>
    <xdr:to>
      <xdr:col>10</xdr:col>
      <xdr:colOff>285750</xdr:colOff>
      <xdr:row>10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3581400" y="22383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285750</xdr:colOff>
      <xdr:row>4</xdr:row>
      <xdr:rowOff>200025</xdr:rowOff>
    </xdr:from>
    <xdr:to>
      <xdr:col>6</xdr:col>
      <xdr:colOff>9525</xdr:colOff>
      <xdr:row>4</xdr:row>
      <xdr:rowOff>200025</xdr:rowOff>
    </xdr:to>
    <xdr:sp>
      <xdr:nvSpPr>
        <xdr:cNvPr id="5" name="Line 5"/>
        <xdr:cNvSpPr>
          <a:spLocks/>
        </xdr:cNvSpPr>
      </xdr:nvSpPr>
      <xdr:spPr>
        <a:xfrm flipH="1">
          <a:off x="1524000" y="111442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533525" y="1828800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200025</xdr:rowOff>
    </xdr:from>
    <xdr:to>
      <xdr:col>5</xdr:col>
      <xdr:colOff>19050</xdr:colOff>
      <xdr:row>8</xdr:row>
      <xdr:rowOff>9525</xdr:rowOff>
    </xdr:to>
    <xdr:sp>
      <xdr:nvSpPr>
        <xdr:cNvPr id="7" name="Line 7"/>
        <xdr:cNvSpPr>
          <a:spLocks/>
        </xdr:cNvSpPr>
      </xdr:nvSpPr>
      <xdr:spPr>
        <a:xfrm>
          <a:off x="1600200" y="1114425"/>
          <a:ext cx="0" cy="723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133350</xdr:colOff>
      <xdr:row>10</xdr:row>
      <xdr:rowOff>219075</xdr:rowOff>
    </xdr:from>
    <xdr:to>
      <xdr:col>10</xdr:col>
      <xdr:colOff>295275</xdr:colOff>
      <xdr:row>10</xdr:row>
      <xdr:rowOff>219075</xdr:rowOff>
    </xdr:to>
    <xdr:sp>
      <xdr:nvSpPr>
        <xdr:cNvPr id="8" name="Line 8"/>
        <xdr:cNvSpPr>
          <a:spLocks/>
        </xdr:cNvSpPr>
      </xdr:nvSpPr>
      <xdr:spPr>
        <a:xfrm flipH="1">
          <a:off x="2057400" y="2505075"/>
          <a:ext cx="15335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295275</xdr:colOff>
      <xdr:row>9</xdr:row>
      <xdr:rowOff>180975</xdr:rowOff>
    </xdr:from>
    <xdr:to>
      <xdr:col>11</xdr:col>
      <xdr:colOff>295275</xdr:colOff>
      <xdr:row>10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3933825" y="22383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10</xdr:row>
      <xdr:rowOff>219075</xdr:rowOff>
    </xdr:from>
    <xdr:to>
      <xdr:col>11</xdr:col>
      <xdr:colOff>295275</xdr:colOff>
      <xdr:row>10</xdr:row>
      <xdr:rowOff>219075</xdr:rowOff>
    </xdr:to>
    <xdr:sp>
      <xdr:nvSpPr>
        <xdr:cNvPr id="10" name="Line 10"/>
        <xdr:cNvSpPr>
          <a:spLocks/>
        </xdr:cNvSpPr>
      </xdr:nvSpPr>
      <xdr:spPr>
        <a:xfrm flipH="1">
          <a:off x="3581400" y="25050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209550</xdr:rowOff>
    </xdr:from>
    <xdr:to>
      <xdr:col>15</xdr:col>
      <xdr:colOff>19050</xdr:colOff>
      <xdr:row>4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638550" y="112395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10</xdr:row>
      <xdr:rowOff>19050</xdr:rowOff>
    </xdr:from>
    <xdr:to>
      <xdr:col>15</xdr:col>
      <xdr:colOff>0</xdr:colOff>
      <xdr:row>10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3895725" y="2305050"/>
          <a:ext cx="1114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8</xdr:row>
      <xdr:rowOff>123825</xdr:rowOff>
    </xdr:from>
    <xdr:to>
      <xdr:col>13</xdr:col>
      <xdr:colOff>47625</xdr:colOff>
      <xdr:row>8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895725" y="19526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142875</xdr:rowOff>
    </xdr:from>
    <xdr:to>
      <xdr:col>13</xdr:col>
      <xdr:colOff>0</xdr:colOff>
      <xdr:row>10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4324350" y="19716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209550</xdr:rowOff>
    </xdr:from>
    <xdr:to>
      <xdr:col>15</xdr:col>
      <xdr:colOff>0</xdr:colOff>
      <xdr:row>10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5010150" y="1123950"/>
          <a:ext cx="0" cy="11906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123825</xdr:rowOff>
    </xdr:from>
    <xdr:to>
      <xdr:col>10</xdr:col>
      <xdr:colOff>104775</xdr:colOff>
      <xdr:row>6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2867025" y="1266825"/>
          <a:ext cx="53340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5</xdr:row>
      <xdr:rowOff>76200</xdr:rowOff>
    </xdr:from>
    <xdr:to>
      <xdr:col>8</xdr:col>
      <xdr:colOff>47625</xdr:colOff>
      <xdr:row>6</xdr:row>
      <xdr:rowOff>133350</xdr:rowOff>
    </xdr:to>
    <xdr:sp>
      <xdr:nvSpPr>
        <xdr:cNvPr id="17" name="Line 17"/>
        <xdr:cNvSpPr>
          <a:spLocks/>
        </xdr:cNvSpPr>
      </xdr:nvSpPr>
      <xdr:spPr>
        <a:xfrm flipH="1" flipV="1">
          <a:off x="2162175" y="1219200"/>
          <a:ext cx="49530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12</xdr:col>
      <xdr:colOff>19050</xdr:colOff>
      <xdr:row>8</xdr:row>
      <xdr:rowOff>133350</xdr:rowOff>
    </xdr:to>
    <xdr:sp>
      <xdr:nvSpPr>
        <xdr:cNvPr id="18" name="Line 18"/>
        <xdr:cNvSpPr>
          <a:spLocks/>
        </xdr:cNvSpPr>
      </xdr:nvSpPr>
      <xdr:spPr>
        <a:xfrm flipH="1">
          <a:off x="3638550" y="1743075"/>
          <a:ext cx="36195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</xdr:row>
      <xdr:rowOff>190500</xdr:rowOff>
    </xdr:from>
    <xdr:to>
      <xdr:col>15</xdr:col>
      <xdr:colOff>95250</xdr:colOff>
      <xdr:row>15</xdr:row>
      <xdr:rowOff>0</xdr:rowOff>
    </xdr:to>
    <xdr:sp>
      <xdr:nvSpPr>
        <xdr:cNvPr id="1" name="Line 141"/>
        <xdr:cNvSpPr>
          <a:spLocks/>
        </xdr:cNvSpPr>
      </xdr:nvSpPr>
      <xdr:spPr>
        <a:xfrm flipV="1">
          <a:off x="3838575" y="3000375"/>
          <a:ext cx="6858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219075</xdr:rowOff>
    </xdr:from>
    <xdr:to>
      <xdr:col>17</xdr:col>
      <xdr:colOff>104775</xdr:colOff>
      <xdr:row>16</xdr:row>
      <xdr:rowOff>9525</xdr:rowOff>
    </xdr:to>
    <xdr:sp>
      <xdr:nvSpPr>
        <xdr:cNvPr id="2" name="Line 142"/>
        <xdr:cNvSpPr>
          <a:spLocks/>
        </xdr:cNvSpPr>
      </xdr:nvSpPr>
      <xdr:spPr>
        <a:xfrm flipV="1">
          <a:off x="4438650" y="3028950"/>
          <a:ext cx="685800" cy="704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276225</xdr:colOff>
      <xdr:row>12</xdr:row>
      <xdr:rowOff>161925</xdr:rowOff>
    </xdr:to>
    <xdr:sp>
      <xdr:nvSpPr>
        <xdr:cNvPr id="3" name="Line 143"/>
        <xdr:cNvSpPr>
          <a:spLocks/>
        </xdr:cNvSpPr>
      </xdr:nvSpPr>
      <xdr:spPr>
        <a:xfrm>
          <a:off x="2657475" y="2352675"/>
          <a:ext cx="276225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180975</xdr:rowOff>
    </xdr:from>
    <xdr:to>
      <xdr:col>18</xdr:col>
      <xdr:colOff>0</xdr:colOff>
      <xdr:row>51</xdr:row>
      <xdr:rowOff>180975</xdr:rowOff>
    </xdr:to>
    <xdr:sp>
      <xdr:nvSpPr>
        <xdr:cNvPr id="4" name="Line 160"/>
        <xdr:cNvSpPr>
          <a:spLocks/>
        </xdr:cNvSpPr>
      </xdr:nvSpPr>
      <xdr:spPr>
        <a:xfrm>
          <a:off x="2066925" y="11906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133350</xdr:rowOff>
    </xdr:from>
    <xdr:to>
      <xdr:col>18</xdr:col>
      <xdr:colOff>0</xdr:colOff>
      <xdr:row>51</xdr:row>
      <xdr:rowOff>133350</xdr:rowOff>
    </xdr:to>
    <xdr:sp>
      <xdr:nvSpPr>
        <xdr:cNvPr id="5" name="Line 161"/>
        <xdr:cNvSpPr>
          <a:spLocks/>
        </xdr:cNvSpPr>
      </xdr:nvSpPr>
      <xdr:spPr>
        <a:xfrm>
          <a:off x="2066925" y="11858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238125</xdr:colOff>
      <xdr:row>51</xdr:row>
      <xdr:rowOff>180975</xdr:rowOff>
    </xdr:from>
    <xdr:to>
      <xdr:col>9</xdr:col>
      <xdr:colOff>57150</xdr:colOff>
      <xdr:row>52</xdr:row>
      <xdr:rowOff>47625</xdr:rowOff>
    </xdr:to>
    <xdr:sp>
      <xdr:nvSpPr>
        <xdr:cNvPr id="6" name="Oval 162"/>
        <xdr:cNvSpPr>
          <a:spLocks/>
        </xdr:cNvSpPr>
      </xdr:nvSpPr>
      <xdr:spPr>
        <a:xfrm>
          <a:off x="2600325" y="119062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238125</xdr:colOff>
      <xdr:row>51</xdr:row>
      <xdr:rowOff>180975</xdr:rowOff>
    </xdr:from>
    <xdr:to>
      <xdr:col>17</xdr:col>
      <xdr:colOff>57150</xdr:colOff>
      <xdr:row>52</xdr:row>
      <xdr:rowOff>47625</xdr:rowOff>
    </xdr:to>
    <xdr:sp>
      <xdr:nvSpPr>
        <xdr:cNvPr id="7" name="Oval 163"/>
        <xdr:cNvSpPr>
          <a:spLocks/>
        </xdr:cNvSpPr>
      </xdr:nvSpPr>
      <xdr:spPr>
        <a:xfrm>
          <a:off x="4962525" y="119062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123825</xdr:rowOff>
    </xdr:from>
    <xdr:to>
      <xdr:col>9</xdr:col>
      <xdr:colOff>0</xdr:colOff>
      <xdr:row>55</xdr:row>
      <xdr:rowOff>47625</xdr:rowOff>
    </xdr:to>
    <xdr:sp>
      <xdr:nvSpPr>
        <xdr:cNvPr id="8" name="Line 164"/>
        <xdr:cNvSpPr>
          <a:spLocks/>
        </xdr:cNvSpPr>
      </xdr:nvSpPr>
      <xdr:spPr>
        <a:xfrm>
          <a:off x="2657475" y="12077700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123825</xdr:rowOff>
    </xdr:from>
    <xdr:to>
      <xdr:col>17</xdr:col>
      <xdr:colOff>0</xdr:colOff>
      <xdr:row>55</xdr:row>
      <xdr:rowOff>47625</xdr:rowOff>
    </xdr:to>
    <xdr:sp>
      <xdr:nvSpPr>
        <xdr:cNvPr id="9" name="Line 165"/>
        <xdr:cNvSpPr>
          <a:spLocks/>
        </xdr:cNvSpPr>
      </xdr:nvSpPr>
      <xdr:spPr>
        <a:xfrm>
          <a:off x="5019675" y="12077700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17</xdr:col>
      <xdr:colOff>0</xdr:colOff>
      <xdr:row>55</xdr:row>
      <xdr:rowOff>0</xdr:rowOff>
    </xdr:to>
    <xdr:sp>
      <xdr:nvSpPr>
        <xdr:cNvPr id="10" name="Line 166"/>
        <xdr:cNvSpPr>
          <a:spLocks/>
        </xdr:cNvSpPr>
      </xdr:nvSpPr>
      <xdr:spPr>
        <a:xfrm>
          <a:off x="2657475" y="12639675"/>
          <a:ext cx="2362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133350</xdr:rowOff>
    </xdr:from>
    <xdr:to>
      <xdr:col>17</xdr:col>
      <xdr:colOff>0</xdr:colOff>
      <xdr:row>51</xdr:row>
      <xdr:rowOff>133350</xdr:rowOff>
    </xdr:to>
    <xdr:sp>
      <xdr:nvSpPr>
        <xdr:cNvPr id="11" name="Rectangle 167"/>
        <xdr:cNvSpPr>
          <a:spLocks/>
        </xdr:cNvSpPr>
      </xdr:nvSpPr>
      <xdr:spPr>
        <a:xfrm>
          <a:off x="2657475" y="11630025"/>
          <a:ext cx="2362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133350</xdr:rowOff>
    </xdr:from>
    <xdr:to>
      <xdr:col>13</xdr:col>
      <xdr:colOff>0</xdr:colOff>
      <xdr:row>51</xdr:row>
      <xdr:rowOff>133350</xdr:rowOff>
    </xdr:to>
    <xdr:sp>
      <xdr:nvSpPr>
        <xdr:cNvPr id="12" name="Line 168"/>
        <xdr:cNvSpPr>
          <a:spLocks/>
        </xdr:cNvSpPr>
      </xdr:nvSpPr>
      <xdr:spPr>
        <a:xfrm>
          <a:off x="3838575" y="11401425"/>
          <a:ext cx="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114300</xdr:colOff>
      <xdr:row>48</xdr:row>
      <xdr:rowOff>133350</xdr:rowOff>
    </xdr:from>
    <xdr:to>
      <xdr:col>17</xdr:col>
      <xdr:colOff>0</xdr:colOff>
      <xdr:row>50</xdr:row>
      <xdr:rowOff>133350</xdr:rowOff>
    </xdr:to>
    <xdr:sp>
      <xdr:nvSpPr>
        <xdr:cNvPr id="13" name="Arc 169"/>
        <xdr:cNvSpPr>
          <a:spLocks/>
        </xdr:cNvSpPr>
      </xdr:nvSpPr>
      <xdr:spPr>
        <a:xfrm flipH="1">
          <a:off x="4543425" y="11172825"/>
          <a:ext cx="476250" cy="457200"/>
        </a:xfrm>
        <a:prstGeom prst="arc">
          <a:avLst>
            <a:gd name="adj" fmla="val -50805"/>
          </a:avLst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238125</xdr:colOff>
      <xdr:row>51</xdr:row>
      <xdr:rowOff>180975</xdr:rowOff>
    </xdr:from>
    <xdr:to>
      <xdr:col>17</xdr:col>
      <xdr:colOff>57150</xdr:colOff>
      <xdr:row>52</xdr:row>
      <xdr:rowOff>47625</xdr:rowOff>
    </xdr:to>
    <xdr:sp>
      <xdr:nvSpPr>
        <xdr:cNvPr id="14" name="Oval 170"/>
        <xdr:cNvSpPr>
          <a:spLocks/>
        </xdr:cNvSpPr>
      </xdr:nvSpPr>
      <xdr:spPr>
        <a:xfrm>
          <a:off x="4962525" y="119062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52</xdr:row>
      <xdr:rowOff>0</xdr:rowOff>
    </xdr:from>
    <xdr:to>
      <xdr:col>8</xdr:col>
      <xdr:colOff>247650</xdr:colOff>
      <xdr:row>53</xdr:row>
      <xdr:rowOff>47625</xdr:rowOff>
    </xdr:to>
    <xdr:sp>
      <xdr:nvSpPr>
        <xdr:cNvPr id="15" name="AutoShape 171"/>
        <xdr:cNvSpPr>
          <a:spLocks/>
        </xdr:cNvSpPr>
      </xdr:nvSpPr>
      <xdr:spPr>
        <a:xfrm flipV="1">
          <a:off x="2219325" y="11953875"/>
          <a:ext cx="390525" cy="276225"/>
        </a:xfrm>
        <a:prstGeom prst="curvedConnector3">
          <a:avLst>
            <a:gd name="adj1" fmla="val -1513"/>
            <a:gd name="adj2" fmla="val 1208620"/>
            <a:gd name="adj3" fmla="val -392425"/>
          </a:avLst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19050</xdr:colOff>
      <xdr:row>51</xdr:row>
      <xdr:rowOff>190500</xdr:rowOff>
    </xdr:from>
    <xdr:to>
      <xdr:col>11</xdr:col>
      <xdr:colOff>285750</xdr:colOff>
      <xdr:row>52</xdr:row>
      <xdr:rowOff>133350</xdr:rowOff>
    </xdr:to>
    <xdr:sp>
      <xdr:nvSpPr>
        <xdr:cNvPr id="16" name="AutoShape 172"/>
        <xdr:cNvSpPr>
          <a:spLocks/>
        </xdr:cNvSpPr>
      </xdr:nvSpPr>
      <xdr:spPr>
        <a:xfrm>
          <a:off x="3267075" y="11915775"/>
          <a:ext cx="257175" cy="171450"/>
        </a:xfrm>
        <a:custGeom>
          <a:pathLst>
            <a:path h="18" w="22">
              <a:moveTo>
                <a:pt x="0" y="0"/>
              </a:moveTo>
              <a:cubicBezTo>
                <a:pt x="1" y="6"/>
                <a:pt x="3" y="12"/>
                <a:pt x="5" y="15"/>
              </a:cubicBezTo>
              <a:cubicBezTo>
                <a:pt x="7" y="18"/>
                <a:pt x="11" y="17"/>
                <a:pt x="14" y="17"/>
              </a:cubicBezTo>
              <a:cubicBezTo>
                <a:pt x="17" y="17"/>
                <a:pt x="19" y="17"/>
                <a:pt x="22" y="17"/>
              </a:cubicBezTo>
            </a:path>
          </a:pathLst>
        </a:custGeom>
        <a:noFill/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35</xdr:col>
      <xdr:colOff>0</xdr:colOff>
      <xdr:row>49</xdr:row>
      <xdr:rowOff>0</xdr:rowOff>
    </xdr:from>
    <xdr:to>
      <xdr:col>36</xdr:col>
      <xdr:colOff>0</xdr:colOff>
      <xdr:row>51</xdr:row>
      <xdr:rowOff>0</xdr:rowOff>
    </xdr:to>
    <xdr:sp>
      <xdr:nvSpPr>
        <xdr:cNvPr id="17" name="Line 180"/>
        <xdr:cNvSpPr>
          <a:spLocks/>
        </xdr:cNvSpPr>
      </xdr:nvSpPr>
      <xdr:spPr>
        <a:xfrm flipH="1">
          <a:off x="13592175" y="11268075"/>
          <a:ext cx="89535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180975</xdr:colOff>
      <xdr:row>8</xdr:row>
      <xdr:rowOff>0</xdr:rowOff>
    </xdr:from>
    <xdr:to>
      <xdr:col>27</xdr:col>
      <xdr:colOff>209550</xdr:colOff>
      <xdr:row>8</xdr:row>
      <xdr:rowOff>28575</xdr:rowOff>
    </xdr:to>
    <xdr:sp>
      <xdr:nvSpPr>
        <xdr:cNvPr id="18" name="Oval 465"/>
        <xdr:cNvSpPr>
          <a:spLocks/>
        </xdr:cNvSpPr>
      </xdr:nvSpPr>
      <xdr:spPr>
        <a:xfrm>
          <a:off x="8153400" y="1895475"/>
          <a:ext cx="3810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180975</xdr:colOff>
      <xdr:row>9</xdr:row>
      <xdr:rowOff>66675</xdr:rowOff>
    </xdr:from>
    <xdr:to>
      <xdr:col>27</xdr:col>
      <xdr:colOff>209550</xdr:colOff>
      <xdr:row>9</xdr:row>
      <xdr:rowOff>95250</xdr:rowOff>
    </xdr:to>
    <xdr:sp>
      <xdr:nvSpPr>
        <xdr:cNvPr id="19" name="Oval 466"/>
        <xdr:cNvSpPr>
          <a:spLocks/>
        </xdr:cNvSpPr>
      </xdr:nvSpPr>
      <xdr:spPr>
        <a:xfrm>
          <a:off x="8153400" y="2190750"/>
          <a:ext cx="3810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257175</xdr:colOff>
      <xdr:row>5</xdr:row>
      <xdr:rowOff>66675</xdr:rowOff>
    </xdr:from>
    <xdr:to>
      <xdr:col>14</xdr:col>
      <xdr:colOff>152400</xdr:colOff>
      <xdr:row>13</xdr:row>
      <xdr:rowOff>200025</xdr:rowOff>
    </xdr:to>
    <xdr:grpSp>
      <xdr:nvGrpSpPr>
        <xdr:cNvPr id="20" name="Group 468"/>
        <xdr:cNvGrpSpPr>
          <a:grpSpLocks/>
        </xdr:cNvGrpSpPr>
      </xdr:nvGrpSpPr>
      <xdr:grpSpPr>
        <a:xfrm>
          <a:off x="4095750" y="1276350"/>
          <a:ext cx="190500" cy="1962150"/>
          <a:chOff x="363" y="263"/>
          <a:chExt cx="16" cy="206"/>
        </a:xfrm>
        <a:solidFill>
          <a:srgbClr val="FFFFFF"/>
        </a:solidFill>
      </xdr:grpSpPr>
      <xdr:sp>
        <xdr:nvSpPr>
          <xdr:cNvPr id="21" name="Line 469"/>
          <xdr:cNvSpPr>
            <a:spLocks/>
          </xdr:cNvSpPr>
        </xdr:nvSpPr>
        <xdr:spPr>
          <a:xfrm>
            <a:off x="371" y="26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470"/>
          <xdr:cNvSpPr>
            <a:spLocks/>
          </xdr:cNvSpPr>
        </xdr:nvSpPr>
        <xdr:spPr>
          <a:xfrm>
            <a:off x="371" y="361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3" name="Group 471"/>
          <xdr:cNvGrpSpPr>
            <a:grpSpLocks/>
          </xdr:cNvGrpSpPr>
        </xdr:nvGrpSpPr>
        <xdr:grpSpPr>
          <a:xfrm>
            <a:off x="363" y="352"/>
            <a:ext cx="16" cy="9"/>
            <a:chOff x="363" y="352"/>
            <a:chExt cx="16" cy="9"/>
          </a:xfrm>
          <a:solidFill>
            <a:srgbClr val="FFFFFF"/>
          </a:solidFill>
        </xdr:grpSpPr>
        <xdr:sp>
          <xdr:nvSpPr>
            <xdr:cNvPr id="24" name="Line 472"/>
            <xdr:cNvSpPr>
              <a:spLocks/>
            </xdr:cNvSpPr>
          </xdr:nvSpPr>
          <xdr:spPr>
            <a:xfrm>
              <a:off x="363" y="356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Line 473"/>
            <xdr:cNvSpPr>
              <a:spLocks/>
            </xdr:cNvSpPr>
          </xdr:nvSpPr>
          <xdr:spPr>
            <a:xfrm flipH="1" flipV="1">
              <a:off x="371" y="352"/>
              <a:ext cx="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6" name="Line 474"/>
            <xdr:cNvSpPr>
              <a:spLocks/>
            </xdr:cNvSpPr>
          </xdr:nvSpPr>
          <xdr:spPr>
            <a:xfrm flipH="1" flipV="1">
              <a:off x="363" y="356"/>
              <a:ext cx="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200025</xdr:colOff>
      <xdr:row>5</xdr:row>
      <xdr:rowOff>76200</xdr:rowOff>
    </xdr:from>
    <xdr:to>
      <xdr:col>15</xdr:col>
      <xdr:colOff>104775</xdr:colOff>
      <xdr:row>13</xdr:row>
      <xdr:rowOff>200025</xdr:rowOff>
    </xdr:to>
    <xdr:grpSp>
      <xdr:nvGrpSpPr>
        <xdr:cNvPr id="27" name="Group 475"/>
        <xdr:cNvGrpSpPr>
          <a:grpSpLocks/>
        </xdr:cNvGrpSpPr>
      </xdr:nvGrpSpPr>
      <xdr:grpSpPr>
        <a:xfrm>
          <a:off x="4333875" y="1285875"/>
          <a:ext cx="200025" cy="1952625"/>
          <a:chOff x="341" y="218"/>
          <a:chExt cx="17" cy="205"/>
        </a:xfrm>
        <a:solidFill>
          <a:srgbClr val="FFFFFF"/>
        </a:solidFill>
      </xdr:grpSpPr>
      <xdr:sp>
        <xdr:nvSpPr>
          <xdr:cNvPr id="28" name="Line 476"/>
          <xdr:cNvSpPr>
            <a:spLocks/>
          </xdr:cNvSpPr>
        </xdr:nvSpPr>
        <xdr:spPr>
          <a:xfrm flipH="1">
            <a:off x="350" y="315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9" name="Group 477"/>
          <xdr:cNvGrpSpPr>
            <a:grpSpLocks/>
          </xdr:cNvGrpSpPr>
        </xdr:nvGrpSpPr>
        <xdr:grpSpPr>
          <a:xfrm>
            <a:off x="341" y="306"/>
            <a:ext cx="17" cy="9"/>
            <a:chOff x="363" y="352"/>
            <a:chExt cx="16" cy="9"/>
          </a:xfrm>
          <a:solidFill>
            <a:srgbClr val="FFFFFF"/>
          </a:solidFill>
        </xdr:grpSpPr>
        <xdr:sp>
          <xdr:nvSpPr>
            <xdr:cNvPr id="30" name="Line 478"/>
            <xdr:cNvSpPr>
              <a:spLocks/>
            </xdr:cNvSpPr>
          </xdr:nvSpPr>
          <xdr:spPr>
            <a:xfrm>
              <a:off x="363" y="356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Line 479"/>
            <xdr:cNvSpPr>
              <a:spLocks/>
            </xdr:cNvSpPr>
          </xdr:nvSpPr>
          <xdr:spPr>
            <a:xfrm flipH="1" flipV="1">
              <a:off x="371" y="352"/>
              <a:ext cx="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2" name="Line 480"/>
            <xdr:cNvSpPr>
              <a:spLocks/>
            </xdr:cNvSpPr>
          </xdr:nvSpPr>
          <xdr:spPr>
            <a:xfrm flipH="1" flipV="1">
              <a:off x="363" y="356"/>
              <a:ext cx="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33" name="Line 481"/>
          <xdr:cNvSpPr>
            <a:spLocks/>
          </xdr:cNvSpPr>
        </xdr:nvSpPr>
        <xdr:spPr>
          <a:xfrm>
            <a:off x="350" y="218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23</xdr:col>
      <xdr:colOff>257175</xdr:colOff>
      <xdr:row>7</xdr:row>
      <xdr:rowOff>9525</xdr:rowOff>
    </xdr:from>
    <xdr:to>
      <xdr:col>27</xdr:col>
      <xdr:colOff>200025</xdr:colOff>
      <xdr:row>12</xdr:row>
      <xdr:rowOff>161925</xdr:rowOff>
    </xdr:to>
    <xdr:sp>
      <xdr:nvSpPr>
        <xdr:cNvPr id="34" name="Line 483"/>
        <xdr:cNvSpPr>
          <a:spLocks/>
        </xdr:cNvSpPr>
      </xdr:nvSpPr>
      <xdr:spPr>
        <a:xfrm>
          <a:off x="7048500" y="1676400"/>
          <a:ext cx="112395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247650</xdr:colOff>
      <xdr:row>6</xdr:row>
      <xdr:rowOff>76200</xdr:rowOff>
    </xdr:from>
    <xdr:to>
      <xdr:col>27</xdr:col>
      <xdr:colOff>190500</xdr:colOff>
      <xdr:row>10</xdr:row>
      <xdr:rowOff>95250</xdr:rowOff>
    </xdr:to>
    <xdr:sp>
      <xdr:nvSpPr>
        <xdr:cNvPr id="35" name="Line 484"/>
        <xdr:cNvSpPr>
          <a:spLocks/>
        </xdr:cNvSpPr>
      </xdr:nvSpPr>
      <xdr:spPr>
        <a:xfrm>
          <a:off x="7629525" y="1514475"/>
          <a:ext cx="53340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190500</xdr:rowOff>
    </xdr:from>
    <xdr:to>
      <xdr:col>27</xdr:col>
      <xdr:colOff>209550</xdr:colOff>
      <xdr:row>13</xdr:row>
      <xdr:rowOff>76200</xdr:rowOff>
    </xdr:to>
    <xdr:grpSp>
      <xdr:nvGrpSpPr>
        <xdr:cNvPr id="36" name="Group 487"/>
        <xdr:cNvGrpSpPr>
          <a:grpSpLocks/>
        </xdr:cNvGrpSpPr>
      </xdr:nvGrpSpPr>
      <xdr:grpSpPr>
        <a:xfrm>
          <a:off x="4438650" y="3000375"/>
          <a:ext cx="3743325" cy="114300"/>
          <a:chOff x="392" y="446"/>
          <a:chExt cx="317" cy="12"/>
        </a:xfrm>
        <a:solidFill>
          <a:srgbClr val="FFFFFF"/>
        </a:solidFill>
      </xdr:grpSpPr>
      <xdr:grpSp>
        <xdr:nvGrpSpPr>
          <xdr:cNvPr id="37" name="Group 488"/>
          <xdr:cNvGrpSpPr>
            <a:grpSpLocks/>
          </xdr:cNvGrpSpPr>
        </xdr:nvGrpSpPr>
        <xdr:grpSpPr>
          <a:xfrm>
            <a:off x="392" y="447"/>
            <a:ext cx="317" cy="11"/>
            <a:chOff x="392" y="447"/>
            <a:chExt cx="317" cy="11"/>
          </a:xfrm>
          <a:solidFill>
            <a:srgbClr val="FFFFFF"/>
          </a:solidFill>
        </xdr:grpSpPr>
        <xdr:sp>
          <xdr:nvSpPr>
            <xdr:cNvPr id="38" name="AutoShape 489"/>
            <xdr:cNvSpPr>
              <a:spLocks/>
            </xdr:cNvSpPr>
          </xdr:nvSpPr>
          <xdr:spPr>
            <a:xfrm flipH="1">
              <a:off x="600" y="447"/>
              <a:ext cx="109" cy="11"/>
            </a:xfrm>
            <a:custGeom>
              <a:pathLst>
                <a:path h="11" w="108">
                  <a:moveTo>
                    <a:pt x="0" y="1"/>
                  </a:moveTo>
                  <a:cubicBezTo>
                    <a:pt x="3" y="2"/>
                    <a:pt x="10" y="5"/>
                    <a:pt x="16" y="7"/>
                  </a:cubicBezTo>
                  <a:cubicBezTo>
                    <a:pt x="22" y="9"/>
                    <a:pt x="26" y="10"/>
                    <a:pt x="36" y="11"/>
                  </a:cubicBezTo>
                  <a:lnTo>
                    <a:pt x="74" y="11"/>
                  </a:lnTo>
                  <a:cubicBezTo>
                    <a:pt x="83" y="10"/>
                    <a:pt x="86" y="8"/>
                    <a:pt x="92" y="6"/>
                  </a:cubicBezTo>
                  <a:cubicBezTo>
                    <a:pt x="98" y="4"/>
                    <a:pt x="105" y="1"/>
                    <a:pt x="108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9" name="AutoShape 490"/>
            <xdr:cNvSpPr>
              <a:spLocks/>
            </xdr:cNvSpPr>
          </xdr:nvSpPr>
          <xdr:spPr>
            <a:xfrm flipH="1">
              <a:off x="450" y="448"/>
              <a:ext cx="149" cy="7"/>
            </a:xfrm>
            <a:custGeom>
              <a:pathLst>
                <a:path h="7" w="148">
                  <a:moveTo>
                    <a:pt x="0" y="0"/>
                  </a:moveTo>
                  <a:lnTo>
                    <a:pt x="22" y="4"/>
                  </a:lnTo>
                  <a:lnTo>
                    <a:pt x="51" y="7"/>
                  </a:lnTo>
                  <a:lnTo>
                    <a:pt x="100" y="7"/>
                  </a:lnTo>
                  <a:lnTo>
                    <a:pt x="127" y="4"/>
                  </a:lnTo>
                  <a:lnTo>
                    <a:pt x="148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0" name="AutoShape 491"/>
            <xdr:cNvSpPr>
              <a:spLocks/>
            </xdr:cNvSpPr>
          </xdr:nvSpPr>
          <xdr:spPr>
            <a:xfrm flipH="1">
              <a:off x="392" y="448"/>
              <a:ext cx="56" cy="9"/>
            </a:xfrm>
            <a:custGeom>
              <a:pathLst>
                <a:path h="9" w="41">
                  <a:moveTo>
                    <a:pt x="0" y="0"/>
                  </a:moveTo>
                  <a:lnTo>
                    <a:pt x="14" y="5"/>
                  </a:lnTo>
                  <a:lnTo>
                    <a:pt x="27" y="8"/>
                  </a:lnTo>
                  <a:lnTo>
                    <a:pt x="41" y="9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41" name="Oval 492"/>
          <xdr:cNvSpPr>
            <a:spLocks/>
          </xdr:cNvSpPr>
        </xdr:nvSpPr>
        <xdr:spPr>
          <a:xfrm flipH="1">
            <a:off x="599" y="446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Oval 493"/>
          <xdr:cNvSpPr>
            <a:spLocks/>
          </xdr:cNvSpPr>
        </xdr:nvSpPr>
        <xdr:spPr>
          <a:xfrm flipH="1">
            <a:off x="448" y="447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24</xdr:col>
      <xdr:colOff>209550</xdr:colOff>
      <xdr:row>5</xdr:row>
      <xdr:rowOff>161925</xdr:rowOff>
    </xdr:from>
    <xdr:to>
      <xdr:col>25</xdr:col>
      <xdr:colOff>180975</xdr:colOff>
      <xdr:row>5</xdr:row>
      <xdr:rowOff>161925</xdr:rowOff>
    </xdr:to>
    <xdr:sp>
      <xdr:nvSpPr>
        <xdr:cNvPr id="43" name="Line 496"/>
        <xdr:cNvSpPr>
          <a:spLocks/>
        </xdr:cNvSpPr>
      </xdr:nvSpPr>
      <xdr:spPr>
        <a:xfrm flipH="1">
          <a:off x="7296150" y="1371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161925</xdr:colOff>
      <xdr:row>5</xdr:row>
      <xdr:rowOff>161925</xdr:rowOff>
    </xdr:from>
    <xdr:to>
      <xdr:col>25</xdr:col>
      <xdr:colOff>161925</xdr:colOff>
      <xdr:row>6</xdr:row>
      <xdr:rowOff>171450</xdr:rowOff>
    </xdr:to>
    <xdr:sp>
      <xdr:nvSpPr>
        <xdr:cNvPr id="44" name="Line 497"/>
        <xdr:cNvSpPr>
          <a:spLocks/>
        </xdr:cNvSpPr>
      </xdr:nvSpPr>
      <xdr:spPr>
        <a:xfrm flipH="1">
          <a:off x="7543800" y="1371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142875</xdr:colOff>
      <xdr:row>6</xdr:row>
      <xdr:rowOff>171450</xdr:rowOff>
    </xdr:from>
    <xdr:to>
      <xdr:col>25</xdr:col>
      <xdr:colOff>180975</xdr:colOff>
      <xdr:row>7</xdr:row>
      <xdr:rowOff>9525</xdr:rowOff>
    </xdr:to>
    <xdr:sp>
      <xdr:nvSpPr>
        <xdr:cNvPr id="45" name="Line 498"/>
        <xdr:cNvSpPr>
          <a:spLocks/>
        </xdr:cNvSpPr>
      </xdr:nvSpPr>
      <xdr:spPr>
        <a:xfrm flipH="1">
          <a:off x="7229475" y="1609725"/>
          <a:ext cx="3333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209550</xdr:colOff>
      <xdr:row>5</xdr:row>
      <xdr:rowOff>161925</xdr:rowOff>
    </xdr:from>
    <xdr:to>
      <xdr:col>24</xdr:col>
      <xdr:colOff>209550</xdr:colOff>
      <xdr:row>6</xdr:row>
      <xdr:rowOff>47625</xdr:rowOff>
    </xdr:to>
    <xdr:sp>
      <xdr:nvSpPr>
        <xdr:cNvPr id="46" name="Line 499"/>
        <xdr:cNvSpPr>
          <a:spLocks/>
        </xdr:cNvSpPr>
      </xdr:nvSpPr>
      <xdr:spPr>
        <a:xfrm flipH="1">
          <a:off x="7296150" y="13716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47625</xdr:rowOff>
    </xdr:from>
    <xdr:to>
      <xdr:col>24</xdr:col>
      <xdr:colOff>209550</xdr:colOff>
      <xdr:row>6</xdr:row>
      <xdr:rowOff>47625</xdr:rowOff>
    </xdr:to>
    <xdr:sp>
      <xdr:nvSpPr>
        <xdr:cNvPr id="47" name="Line 500"/>
        <xdr:cNvSpPr>
          <a:spLocks/>
        </xdr:cNvSpPr>
      </xdr:nvSpPr>
      <xdr:spPr>
        <a:xfrm flipH="1">
          <a:off x="4438650" y="14859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95250</xdr:colOff>
      <xdr:row>7</xdr:row>
      <xdr:rowOff>9525</xdr:rowOff>
    </xdr:from>
    <xdr:to>
      <xdr:col>24</xdr:col>
      <xdr:colOff>152400</xdr:colOff>
      <xdr:row>7</xdr:row>
      <xdr:rowOff>9525</xdr:rowOff>
    </xdr:to>
    <xdr:sp>
      <xdr:nvSpPr>
        <xdr:cNvPr id="48" name="Line 501"/>
        <xdr:cNvSpPr>
          <a:spLocks/>
        </xdr:cNvSpPr>
      </xdr:nvSpPr>
      <xdr:spPr>
        <a:xfrm flipH="1">
          <a:off x="6886575" y="1676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180975</xdr:colOff>
      <xdr:row>6</xdr:row>
      <xdr:rowOff>171450</xdr:rowOff>
    </xdr:from>
    <xdr:to>
      <xdr:col>23</xdr:col>
      <xdr:colOff>95250</xdr:colOff>
      <xdr:row>7</xdr:row>
      <xdr:rowOff>9525</xdr:rowOff>
    </xdr:to>
    <xdr:sp>
      <xdr:nvSpPr>
        <xdr:cNvPr id="49" name="Line 502"/>
        <xdr:cNvSpPr>
          <a:spLocks/>
        </xdr:cNvSpPr>
      </xdr:nvSpPr>
      <xdr:spPr>
        <a:xfrm flipH="1" flipV="1">
          <a:off x="6677025" y="1609725"/>
          <a:ext cx="2095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57150</xdr:colOff>
      <xdr:row>6</xdr:row>
      <xdr:rowOff>171450</xdr:rowOff>
    </xdr:from>
    <xdr:to>
      <xdr:col>22</xdr:col>
      <xdr:colOff>190500</xdr:colOff>
      <xdr:row>6</xdr:row>
      <xdr:rowOff>171450</xdr:rowOff>
    </xdr:to>
    <xdr:sp>
      <xdr:nvSpPr>
        <xdr:cNvPr id="50" name="Line 503"/>
        <xdr:cNvSpPr>
          <a:spLocks/>
        </xdr:cNvSpPr>
      </xdr:nvSpPr>
      <xdr:spPr>
        <a:xfrm flipH="1">
          <a:off x="5667375" y="16097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152400</xdr:colOff>
      <xdr:row>6</xdr:row>
      <xdr:rowOff>171450</xdr:rowOff>
    </xdr:from>
    <xdr:to>
      <xdr:col>19</xdr:col>
      <xdr:colOff>66675</xdr:colOff>
      <xdr:row>7</xdr:row>
      <xdr:rowOff>9525</xdr:rowOff>
    </xdr:to>
    <xdr:sp>
      <xdr:nvSpPr>
        <xdr:cNvPr id="51" name="Line 504"/>
        <xdr:cNvSpPr>
          <a:spLocks/>
        </xdr:cNvSpPr>
      </xdr:nvSpPr>
      <xdr:spPr>
        <a:xfrm flipH="1">
          <a:off x="5467350" y="1609725"/>
          <a:ext cx="2095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95250</xdr:colOff>
      <xdr:row>7</xdr:row>
      <xdr:rowOff>9525</xdr:rowOff>
    </xdr:from>
    <xdr:to>
      <xdr:col>18</xdr:col>
      <xdr:colOff>152400</xdr:colOff>
      <xdr:row>7</xdr:row>
      <xdr:rowOff>9525</xdr:rowOff>
    </xdr:to>
    <xdr:sp>
      <xdr:nvSpPr>
        <xdr:cNvPr id="52" name="Line 505"/>
        <xdr:cNvSpPr>
          <a:spLocks/>
        </xdr:cNvSpPr>
      </xdr:nvSpPr>
      <xdr:spPr>
        <a:xfrm flipH="1">
          <a:off x="5114925" y="1676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200025</xdr:colOff>
      <xdr:row>6</xdr:row>
      <xdr:rowOff>171450</xdr:rowOff>
    </xdr:from>
    <xdr:to>
      <xdr:col>17</xdr:col>
      <xdr:colOff>95250</xdr:colOff>
      <xdr:row>7</xdr:row>
      <xdr:rowOff>9525</xdr:rowOff>
    </xdr:to>
    <xdr:sp>
      <xdr:nvSpPr>
        <xdr:cNvPr id="53" name="Line 506"/>
        <xdr:cNvSpPr>
          <a:spLocks/>
        </xdr:cNvSpPr>
      </xdr:nvSpPr>
      <xdr:spPr>
        <a:xfrm flipH="1" flipV="1">
          <a:off x="4924425" y="1609725"/>
          <a:ext cx="1905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171450</xdr:rowOff>
    </xdr:from>
    <xdr:to>
      <xdr:col>16</xdr:col>
      <xdr:colOff>200025</xdr:colOff>
      <xdr:row>6</xdr:row>
      <xdr:rowOff>171450</xdr:rowOff>
    </xdr:to>
    <xdr:sp>
      <xdr:nvSpPr>
        <xdr:cNvPr id="54" name="Line 507"/>
        <xdr:cNvSpPr>
          <a:spLocks/>
        </xdr:cNvSpPr>
      </xdr:nvSpPr>
      <xdr:spPr>
        <a:xfrm flipH="1">
          <a:off x="4438650" y="16097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95250</xdr:colOff>
      <xdr:row>7</xdr:row>
      <xdr:rowOff>0</xdr:rowOff>
    </xdr:from>
    <xdr:to>
      <xdr:col>24</xdr:col>
      <xdr:colOff>161925</xdr:colOff>
      <xdr:row>11</xdr:row>
      <xdr:rowOff>76200</xdr:rowOff>
    </xdr:to>
    <xdr:grpSp>
      <xdr:nvGrpSpPr>
        <xdr:cNvPr id="55" name="Group 508"/>
        <xdr:cNvGrpSpPr>
          <a:grpSpLocks/>
        </xdr:cNvGrpSpPr>
      </xdr:nvGrpSpPr>
      <xdr:grpSpPr>
        <a:xfrm flipH="1">
          <a:off x="5114925" y="1666875"/>
          <a:ext cx="2133600" cy="990600"/>
          <a:chOff x="139" y="302"/>
          <a:chExt cx="179" cy="104"/>
        </a:xfrm>
        <a:solidFill>
          <a:srgbClr val="FFFFFF"/>
        </a:solidFill>
      </xdr:grpSpPr>
      <xdr:grpSp>
        <xdr:nvGrpSpPr>
          <xdr:cNvPr id="56" name="Group 509"/>
          <xdr:cNvGrpSpPr>
            <a:grpSpLocks/>
          </xdr:cNvGrpSpPr>
        </xdr:nvGrpSpPr>
        <xdr:grpSpPr>
          <a:xfrm>
            <a:off x="139" y="302"/>
            <a:ext cx="31" cy="104"/>
            <a:chOff x="139" y="302"/>
            <a:chExt cx="31" cy="104"/>
          </a:xfrm>
          <a:solidFill>
            <a:srgbClr val="FFFFFF"/>
          </a:solidFill>
        </xdr:grpSpPr>
        <xdr:sp>
          <xdr:nvSpPr>
            <xdr:cNvPr id="57" name="Line 510"/>
            <xdr:cNvSpPr>
              <a:spLocks/>
            </xdr:cNvSpPr>
          </xdr:nvSpPr>
          <xdr:spPr>
            <a:xfrm>
              <a:off x="139" y="302"/>
              <a:ext cx="3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8" name="Line 511"/>
            <xdr:cNvSpPr>
              <a:spLocks/>
            </xdr:cNvSpPr>
          </xdr:nvSpPr>
          <xdr:spPr>
            <a:xfrm>
              <a:off x="155" y="302"/>
              <a:ext cx="0" cy="10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9" name="Line 512"/>
            <xdr:cNvSpPr>
              <a:spLocks/>
            </xdr:cNvSpPr>
          </xdr:nvSpPr>
          <xdr:spPr>
            <a:xfrm>
              <a:off x="141" y="406"/>
              <a:ext cx="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0" name="Group 513"/>
          <xdr:cNvGrpSpPr>
            <a:grpSpLocks/>
          </xdr:cNvGrpSpPr>
        </xdr:nvGrpSpPr>
        <xdr:grpSpPr>
          <a:xfrm>
            <a:off x="287" y="302"/>
            <a:ext cx="31" cy="104"/>
            <a:chOff x="139" y="302"/>
            <a:chExt cx="31" cy="104"/>
          </a:xfrm>
          <a:solidFill>
            <a:srgbClr val="FFFFFF"/>
          </a:solidFill>
        </xdr:grpSpPr>
        <xdr:sp>
          <xdr:nvSpPr>
            <xdr:cNvPr id="61" name="Line 514"/>
            <xdr:cNvSpPr>
              <a:spLocks/>
            </xdr:cNvSpPr>
          </xdr:nvSpPr>
          <xdr:spPr>
            <a:xfrm>
              <a:off x="139" y="302"/>
              <a:ext cx="3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2" name="Line 515"/>
            <xdr:cNvSpPr>
              <a:spLocks/>
            </xdr:cNvSpPr>
          </xdr:nvSpPr>
          <xdr:spPr>
            <a:xfrm>
              <a:off x="155" y="302"/>
              <a:ext cx="0" cy="10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3" name="Line 516"/>
            <xdr:cNvSpPr>
              <a:spLocks/>
            </xdr:cNvSpPr>
          </xdr:nvSpPr>
          <xdr:spPr>
            <a:xfrm>
              <a:off x="141" y="406"/>
              <a:ext cx="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9525</xdr:colOff>
      <xdr:row>8</xdr:row>
      <xdr:rowOff>0</xdr:rowOff>
    </xdr:from>
    <xdr:to>
      <xdr:col>28</xdr:col>
      <xdr:colOff>47625</xdr:colOff>
      <xdr:row>13</xdr:row>
      <xdr:rowOff>38100</xdr:rowOff>
    </xdr:to>
    <xdr:grpSp>
      <xdr:nvGrpSpPr>
        <xdr:cNvPr id="64" name="Group 517"/>
        <xdr:cNvGrpSpPr>
          <a:grpSpLocks/>
        </xdr:cNvGrpSpPr>
      </xdr:nvGrpSpPr>
      <xdr:grpSpPr>
        <a:xfrm>
          <a:off x="4438650" y="1895475"/>
          <a:ext cx="3876675" cy="1181100"/>
          <a:chOff x="392" y="330"/>
          <a:chExt cx="328" cy="124"/>
        </a:xfrm>
        <a:solidFill>
          <a:srgbClr val="FFFFFF"/>
        </a:solidFill>
      </xdr:grpSpPr>
      <xdr:grpSp>
        <xdr:nvGrpSpPr>
          <xdr:cNvPr id="65" name="Group 518"/>
          <xdr:cNvGrpSpPr>
            <a:grpSpLocks/>
          </xdr:cNvGrpSpPr>
        </xdr:nvGrpSpPr>
        <xdr:grpSpPr>
          <a:xfrm flipH="1">
            <a:off x="392" y="444"/>
            <a:ext cx="328" cy="3"/>
            <a:chOff x="49" y="440"/>
            <a:chExt cx="310" cy="3"/>
          </a:xfrm>
          <a:solidFill>
            <a:srgbClr val="FFFFFF"/>
          </a:solidFill>
        </xdr:grpSpPr>
        <xdr:sp>
          <xdr:nvSpPr>
            <xdr:cNvPr id="66" name="Line 519"/>
            <xdr:cNvSpPr>
              <a:spLocks/>
            </xdr:cNvSpPr>
          </xdr:nvSpPr>
          <xdr:spPr>
            <a:xfrm>
              <a:off x="49" y="440"/>
              <a:ext cx="3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7" name="Line 520"/>
            <xdr:cNvSpPr>
              <a:spLocks/>
            </xdr:cNvSpPr>
          </xdr:nvSpPr>
          <xdr:spPr>
            <a:xfrm>
              <a:off x="49" y="443"/>
              <a:ext cx="3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8" name="Line 521"/>
            <xdr:cNvSpPr>
              <a:spLocks/>
            </xdr:cNvSpPr>
          </xdr:nvSpPr>
          <xdr:spPr>
            <a:xfrm>
              <a:off x="49" y="440"/>
              <a:ext cx="0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9" name="Group 522"/>
          <xdr:cNvGrpSpPr>
            <a:grpSpLocks/>
          </xdr:cNvGrpSpPr>
        </xdr:nvGrpSpPr>
        <xdr:grpSpPr>
          <a:xfrm>
            <a:off x="647" y="330"/>
            <a:ext cx="65" cy="124"/>
            <a:chOff x="647" y="330"/>
            <a:chExt cx="65" cy="124"/>
          </a:xfrm>
          <a:solidFill>
            <a:srgbClr val="FFFFFF"/>
          </a:solidFill>
        </xdr:grpSpPr>
        <xdr:grpSp>
          <xdr:nvGrpSpPr>
            <xdr:cNvPr id="70" name="Group 523"/>
            <xdr:cNvGrpSpPr>
              <a:grpSpLocks/>
            </xdr:cNvGrpSpPr>
          </xdr:nvGrpSpPr>
          <xdr:grpSpPr>
            <a:xfrm>
              <a:off x="647" y="352"/>
              <a:ext cx="62" cy="99"/>
              <a:chOff x="647" y="352"/>
              <a:chExt cx="62" cy="99"/>
            </a:xfrm>
            <a:solidFill>
              <a:srgbClr val="FFFFFF"/>
            </a:solidFill>
          </xdr:grpSpPr>
          <xdr:sp>
            <xdr:nvSpPr>
              <xdr:cNvPr id="71" name="Oval 524"/>
              <xdr:cNvSpPr>
                <a:spLocks/>
              </xdr:cNvSpPr>
            </xdr:nvSpPr>
            <xdr:spPr>
              <a:xfrm flipH="1">
                <a:off x="706" y="414"/>
                <a:ext cx="3" cy="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2" name="Oval 525"/>
              <xdr:cNvSpPr>
                <a:spLocks/>
              </xdr:cNvSpPr>
            </xdr:nvSpPr>
            <xdr:spPr>
              <a:xfrm flipH="1">
                <a:off x="706" y="387"/>
                <a:ext cx="3" cy="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3" name="Line 526"/>
              <xdr:cNvSpPr>
                <a:spLocks/>
              </xdr:cNvSpPr>
            </xdr:nvSpPr>
            <xdr:spPr>
              <a:xfrm>
                <a:off x="647" y="450"/>
                <a:ext cx="3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4" name="Line 527"/>
              <xdr:cNvSpPr>
                <a:spLocks/>
              </xdr:cNvSpPr>
            </xdr:nvSpPr>
            <xdr:spPr>
              <a:xfrm flipH="1">
                <a:off x="706" y="385"/>
                <a:ext cx="0" cy="59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5" name="Line 528"/>
              <xdr:cNvSpPr>
                <a:spLocks/>
              </xdr:cNvSpPr>
            </xdr:nvSpPr>
            <xdr:spPr>
              <a:xfrm flipH="1">
                <a:off x="647" y="352"/>
                <a:ext cx="62" cy="9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6" name="Line 529"/>
              <xdr:cNvSpPr>
                <a:spLocks/>
              </xdr:cNvSpPr>
            </xdr:nvSpPr>
            <xdr:spPr>
              <a:xfrm flipH="1">
                <a:off x="650" y="358"/>
                <a:ext cx="59" cy="9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77" name="Group 530"/>
            <xdr:cNvGrpSpPr>
              <a:grpSpLocks/>
            </xdr:cNvGrpSpPr>
          </xdr:nvGrpSpPr>
          <xdr:grpSpPr>
            <a:xfrm>
              <a:off x="709" y="330"/>
              <a:ext cx="3" cy="124"/>
              <a:chOff x="709" y="330"/>
              <a:chExt cx="3" cy="124"/>
            </a:xfrm>
            <a:solidFill>
              <a:srgbClr val="FFFFFF"/>
            </a:solidFill>
          </xdr:grpSpPr>
          <xdr:sp>
            <xdr:nvSpPr>
              <xdr:cNvPr id="78" name="Line 531"/>
              <xdr:cNvSpPr>
                <a:spLocks/>
              </xdr:cNvSpPr>
            </xdr:nvSpPr>
            <xdr:spPr>
              <a:xfrm flipH="1">
                <a:off x="712" y="330"/>
                <a:ext cx="0" cy="11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9" name="Line 532"/>
              <xdr:cNvSpPr>
                <a:spLocks/>
              </xdr:cNvSpPr>
            </xdr:nvSpPr>
            <xdr:spPr>
              <a:xfrm flipH="1">
                <a:off x="709" y="330"/>
                <a:ext cx="0" cy="11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80" name="Line 533"/>
              <xdr:cNvSpPr>
                <a:spLocks/>
              </xdr:cNvSpPr>
            </xdr:nvSpPr>
            <xdr:spPr>
              <a:xfrm flipH="1">
                <a:off x="712" y="447"/>
                <a:ext cx="0" cy="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81" name="Line 534"/>
              <xdr:cNvSpPr>
                <a:spLocks/>
              </xdr:cNvSpPr>
            </xdr:nvSpPr>
            <xdr:spPr>
              <a:xfrm flipH="1">
                <a:off x="709" y="447"/>
                <a:ext cx="0" cy="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82" name="Line 535"/>
              <xdr:cNvSpPr>
                <a:spLocks/>
              </xdr:cNvSpPr>
            </xdr:nvSpPr>
            <xdr:spPr>
              <a:xfrm flipH="1">
                <a:off x="709" y="454"/>
                <a:ext cx="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83" name="Line 536"/>
              <xdr:cNvSpPr>
                <a:spLocks/>
              </xdr:cNvSpPr>
            </xdr:nvSpPr>
            <xdr:spPr>
              <a:xfrm flipH="1">
                <a:off x="709" y="330"/>
                <a:ext cx="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17</xdr:col>
      <xdr:colOff>104775</xdr:colOff>
      <xdr:row>11</xdr:row>
      <xdr:rowOff>66675</xdr:rowOff>
    </xdr:from>
    <xdr:to>
      <xdr:col>17</xdr:col>
      <xdr:colOff>104775</xdr:colOff>
      <xdr:row>12</xdr:row>
      <xdr:rowOff>209550</xdr:rowOff>
    </xdr:to>
    <xdr:sp>
      <xdr:nvSpPr>
        <xdr:cNvPr id="84" name="Line 537"/>
        <xdr:cNvSpPr>
          <a:spLocks/>
        </xdr:cNvSpPr>
      </xdr:nvSpPr>
      <xdr:spPr>
        <a:xfrm>
          <a:off x="5124450" y="26479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104775</xdr:colOff>
      <xdr:row>11</xdr:row>
      <xdr:rowOff>66675</xdr:rowOff>
    </xdr:from>
    <xdr:to>
      <xdr:col>23</xdr:col>
      <xdr:colOff>104775</xdr:colOff>
      <xdr:row>12</xdr:row>
      <xdr:rowOff>200025</xdr:rowOff>
    </xdr:to>
    <xdr:sp>
      <xdr:nvSpPr>
        <xdr:cNvPr id="85" name="Line 538"/>
        <xdr:cNvSpPr>
          <a:spLocks/>
        </xdr:cNvSpPr>
      </xdr:nvSpPr>
      <xdr:spPr>
        <a:xfrm>
          <a:off x="6896100" y="26479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28</xdr:col>
      <xdr:colOff>9525</xdr:colOff>
      <xdr:row>10</xdr:row>
      <xdr:rowOff>85725</xdr:rowOff>
    </xdr:to>
    <xdr:sp>
      <xdr:nvSpPr>
        <xdr:cNvPr id="86" name="AutoShape 539"/>
        <xdr:cNvSpPr>
          <a:spLocks/>
        </xdr:cNvSpPr>
      </xdr:nvSpPr>
      <xdr:spPr>
        <a:xfrm>
          <a:off x="8220075" y="1905000"/>
          <a:ext cx="57150" cy="533400"/>
        </a:xfrm>
        <a:custGeom>
          <a:pathLst>
            <a:path h="56" w="5">
              <a:moveTo>
                <a:pt x="1" y="0"/>
              </a:moveTo>
              <a:cubicBezTo>
                <a:pt x="2" y="3"/>
                <a:pt x="3" y="11"/>
                <a:pt x="4" y="16"/>
              </a:cubicBezTo>
              <a:cubicBezTo>
                <a:pt x="5" y="21"/>
                <a:pt x="5" y="24"/>
                <a:pt x="5" y="28"/>
              </a:cubicBezTo>
              <a:cubicBezTo>
                <a:pt x="5" y="32"/>
                <a:pt x="5" y="36"/>
                <a:pt x="4" y="41"/>
              </a:cubicBezTo>
              <a:cubicBezTo>
                <a:pt x="3" y="46"/>
                <a:pt x="1" y="53"/>
                <a:pt x="0" y="5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180975</xdr:colOff>
      <xdr:row>12</xdr:row>
      <xdr:rowOff>133350</xdr:rowOff>
    </xdr:from>
    <xdr:to>
      <xdr:col>27</xdr:col>
      <xdr:colOff>209550</xdr:colOff>
      <xdr:row>12</xdr:row>
      <xdr:rowOff>161925</xdr:rowOff>
    </xdr:to>
    <xdr:sp>
      <xdr:nvSpPr>
        <xdr:cNvPr id="87" name="Oval 540"/>
        <xdr:cNvSpPr>
          <a:spLocks/>
        </xdr:cNvSpPr>
      </xdr:nvSpPr>
      <xdr:spPr>
        <a:xfrm>
          <a:off x="8153400" y="2943225"/>
          <a:ext cx="3810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238125</xdr:colOff>
      <xdr:row>8</xdr:row>
      <xdr:rowOff>0</xdr:rowOff>
    </xdr:from>
    <xdr:to>
      <xdr:col>2</xdr:col>
      <xdr:colOff>19050</xdr:colOff>
      <xdr:row>10</xdr:row>
      <xdr:rowOff>76200</xdr:rowOff>
    </xdr:to>
    <xdr:sp>
      <xdr:nvSpPr>
        <xdr:cNvPr id="88" name="AutoShape 542"/>
        <xdr:cNvSpPr>
          <a:spLocks/>
        </xdr:cNvSpPr>
      </xdr:nvSpPr>
      <xdr:spPr>
        <a:xfrm>
          <a:off x="533400" y="1895475"/>
          <a:ext cx="76200" cy="533400"/>
        </a:xfrm>
        <a:custGeom>
          <a:pathLst>
            <a:path h="56" w="7">
              <a:moveTo>
                <a:pt x="7" y="0"/>
              </a:moveTo>
              <a:cubicBezTo>
                <a:pt x="6" y="2"/>
                <a:pt x="2" y="11"/>
                <a:pt x="1" y="16"/>
              </a:cubicBezTo>
              <a:cubicBezTo>
                <a:pt x="0" y="21"/>
                <a:pt x="0" y="24"/>
                <a:pt x="0" y="28"/>
              </a:cubicBezTo>
              <a:cubicBezTo>
                <a:pt x="0" y="32"/>
                <a:pt x="0" y="36"/>
                <a:pt x="1" y="41"/>
              </a:cubicBezTo>
              <a:cubicBezTo>
                <a:pt x="3" y="46"/>
                <a:pt x="6" y="53"/>
                <a:pt x="7" y="5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228600</xdr:colOff>
      <xdr:row>12</xdr:row>
      <xdr:rowOff>171450</xdr:rowOff>
    </xdr:from>
    <xdr:to>
      <xdr:col>14</xdr:col>
      <xdr:colOff>47625</xdr:colOff>
      <xdr:row>12</xdr:row>
      <xdr:rowOff>200025</xdr:rowOff>
    </xdr:to>
    <xdr:grpSp>
      <xdr:nvGrpSpPr>
        <xdr:cNvPr id="89" name="Group 545"/>
        <xdr:cNvGrpSpPr>
          <a:grpSpLocks/>
        </xdr:cNvGrpSpPr>
      </xdr:nvGrpSpPr>
      <xdr:grpSpPr>
        <a:xfrm>
          <a:off x="523875" y="2981325"/>
          <a:ext cx="3657600" cy="28575"/>
          <a:chOff x="49" y="440"/>
          <a:chExt cx="310" cy="3"/>
        </a:xfrm>
        <a:solidFill>
          <a:srgbClr val="FFFFFF"/>
        </a:solidFill>
      </xdr:grpSpPr>
      <xdr:sp>
        <xdr:nvSpPr>
          <xdr:cNvPr id="90" name="Line 546"/>
          <xdr:cNvSpPr>
            <a:spLocks/>
          </xdr:cNvSpPr>
        </xdr:nvSpPr>
        <xdr:spPr>
          <a:xfrm>
            <a:off x="49" y="440"/>
            <a:ext cx="3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1" name="Line 547"/>
          <xdr:cNvSpPr>
            <a:spLocks/>
          </xdr:cNvSpPr>
        </xdr:nvSpPr>
        <xdr:spPr>
          <a:xfrm>
            <a:off x="49" y="443"/>
            <a:ext cx="3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2" name="Line 548"/>
          <xdr:cNvSpPr>
            <a:spLocks/>
          </xdr:cNvSpPr>
        </xdr:nvSpPr>
        <xdr:spPr>
          <a:xfrm>
            <a:off x="49" y="440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8</xdr:row>
      <xdr:rowOff>0</xdr:rowOff>
    </xdr:from>
    <xdr:to>
      <xdr:col>14</xdr:col>
      <xdr:colOff>57150</xdr:colOff>
      <xdr:row>13</xdr:row>
      <xdr:rowOff>76200</xdr:rowOff>
    </xdr:to>
    <xdr:grpSp>
      <xdr:nvGrpSpPr>
        <xdr:cNvPr id="93" name="Group 550"/>
        <xdr:cNvGrpSpPr>
          <a:grpSpLocks/>
        </xdr:cNvGrpSpPr>
      </xdr:nvGrpSpPr>
      <xdr:grpSpPr>
        <a:xfrm>
          <a:off x="609600" y="1895475"/>
          <a:ext cx="3581400" cy="1219200"/>
          <a:chOff x="57" y="326"/>
          <a:chExt cx="303" cy="128"/>
        </a:xfrm>
        <a:solidFill>
          <a:srgbClr val="FFFFFF"/>
        </a:solidFill>
      </xdr:grpSpPr>
      <xdr:sp>
        <xdr:nvSpPr>
          <xdr:cNvPr id="94" name="Line 551"/>
          <xdr:cNvSpPr>
            <a:spLocks/>
          </xdr:cNvSpPr>
        </xdr:nvSpPr>
        <xdr:spPr>
          <a:xfrm flipH="1">
            <a:off x="119" y="446"/>
            <a:ext cx="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Line 552"/>
          <xdr:cNvSpPr>
            <a:spLocks/>
          </xdr:cNvSpPr>
        </xdr:nvSpPr>
        <xdr:spPr>
          <a:xfrm>
            <a:off x="63" y="381"/>
            <a:ext cx="0" cy="5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96" name="Group 553"/>
          <xdr:cNvGrpSpPr>
            <a:grpSpLocks/>
          </xdr:cNvGrpSpPr>
        </xdr:nvGrpSpPr>
        <xdr:grpSpPr>
          <a:xfrm>
            <a:off x="57" y="326"/>
            <a:ext cx="303" cy="128"/>
            <a:chOff x="57" y="326"/>
            <a:chExt cx="303" cy="128"/>
          </a:xfrm>
          <a:solidFill>
            <a:srgbClr val="FFFFFF"/>
          </a:solidFill>
        </xdr:grpSpPr>
        <xdr:sp>
          <xdr:nvSpPr>
            <xdr:cNvPr id="97" name="Line 554"/>
            <xdr:cNvSpPr>
              <a:spLocks/>
            </xdr:cNvSpPr>
          </xdr:nvSpPr>
          <xdr:spPr>
            <a:xfrm>
              <a:off x="57" y="326"/>
              <a:ext cx="0" cy="1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98" name="Line 555"/>
            <xdr:cNvSpPr>
              <a:spLocks/>
            </xdr:cNvSpPr>
          </xdr:nvSpPr>
          <xdr:spPr>
            <a:xfrm>
              <a:off x="60" y="326"/>
              <a:ext cx="0" cy="1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99" name="Line 556"/>
            <xdr:cNvSpPr>
              <a:spLocks/>
            </xdr:cNvSpPr>
          </xdr:nvSpPr>
          <xdr:spPr>
            <a:xfrm>
              <a:off x="60" y="348"/>
              <a:ext cx="62" cy="9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0" name="Line 557"/>
            <xdr:cNvSpPr>
              <a:spLocks/>
            </xdr:cNvSpPr>
          </xdr:nvSpPr>
          <xdr:spPr>
            <a:xfrm>
              <a:off x="60" y="354"/>
              <a:ext cx="59" cy="9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1" name="Line 558"/>
            <xdr:cNvSpPr>
              <a:spLocks/>
            </xdr:cNvSpPr>
          </xdr:nvSpPr>
          <xdr:spPr>
            <a:xfrm>
              <a:off x="57" y="443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2" name="Line 559"/>
            <xdr:cNvSpPr>
              <a:spLocks/>
            </xdr:cNvSpPr>
          </xdr:nvSpPr>
          <xdr:spPr>
            <a:xfrm>
              <a:off x="60" y="443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3" name="Line 560"/>
            <xdr:cNvSpPr>
              <a:spLocks/>
            </xdr:cNvSpPr>
          </xdr:nvSpPr>
          <xdr:spPr>
            <a:xfrm>
              <a:off x="57" y="450"/>
              <a:ext cx="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4" name="Line 561"/>
            <xdr:cNvSpPr>
              <a:spLocks/>
            </xdr:cNvSpPr>
          </xdr:nvSpPr>
          <xdr:spPr>
            <a:xfrm>
              <a:off x="57" y="326"/>
              <a:ext cx="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5" name="AutoShape 562"/>
            <xdr:cNvSpPr>
              <a:spLocks/>
            </xdr:cNvSpPr>
          </xdr:nvSpPr>
          <xdr:spPr>
            <a:xfrm>
              <a:off x="60" y="443"/>
              <a:ext cx="108" cy="11"/>
            </a:xfrm>
            <a:custGeom>
              <a:pathLst>
                <a:path h="11" w="108">
                  <a:moveTo>
                    <a:pt x="0" y="1"/>
                  </a:moveTo>
                  <a:cubicBezTo>
                    <a:pt x="3" y="2"/>
                    <a:pt x="10" y="5"/>
                    <a:pt x="16" y="7"/>
                  </a:cubicBezTo>
                  <a:cubicBezTo>
                    <a:pt x="22" y="9"/>
                    <a:pt x="26" y="10"/>
                    <a:pt x="36" y="11"/>
                  </a:cubicBezTo>
                  <a:lnTo>
                    <a:pt x="74" y="11"/>
                  </a:lnTo>
                  <a:cubicBezTo>
                    <a:pt x="83" y="10"/>
                    <a:pt x="86" y="8"/>
                    <a:pt x="92" y="6"/>
                  </a:cubicBezTo>
                  <a:cubicBezTo>
                    <a:pt x="98" y="4"/>
                    <a:pt x="105" y="1"/>
                    <a:pt x="108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6" name="AutoShape 563"/>
            <xdr:cNvSpPr>
              <a:spLocks/>
            </xdr:cNvSpPr>
          </xdr:nvSpPr>
          <xdr:spPr>
            <a:xfrm>
              <a:off x="169" y="444"/>
              <a:ext cx="148" cy="7"/>
            </a:xfrm>
            <a:custGeom>
              <a:pathLst>
                <a:path h="7" w="148">
                  <a:moveTo>
                    <a:pt x="0" y="0"/>
                  </a:moveTo>
                  <a:lnTo>
                    <a:pt x="22" y="4"/>
                  </a:lnTo>
                  <a:lnTo>
                    <a:pt x="51" y="7"/>
                  </a:lnTo>
                  <a:lnTo>
                    <a:pt x="100" y="7"/>
                  </a:lnTo>
                  <a:lnTo>
                    <a:pt x="127" y="4"/>
                  </a:lnTo>
                  <a:lnTo>
                    <a:pt x="148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7" name="AutoShape 564"/>
            <xdr:cNvSpPr>
              <a:spLocks/>
            </xdr:cNvSpPr>
          </xdr:nvSpPr>
          <xdr:spPr>
            <a:xfrm>
              <a:off x="319" y="444"/>
              <a:ext cx="41" cy="9"/>
            </a:xfrm>
            <a:custGeom>
              <a:pathLst>
                <a:path h="9" w="41">
                  <a:moveTo>
                    <a:pt x="0" y="0"/>
                  </a:moveTo>
                  <a:lnTo>
                    <a:pt x="14" y="5"/>
                  </a:lnTo>
                  <a:lnTo>
                    <a:pt x="27" y="8"/>
                  </a:lnTo>
                  <a:lnTo>
                    <a:pt x="41" y="9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8" name="Oval 565"/>
            <xdr:cNvSpPr>
              <a:spLocks/>
            </xdr:cNvSpPr>
          </xdr:nvSpPr>
          <xdr:spPr>
            <a:xfrm>
              <a:off x="166" y="442"/>
              <a:ext cx="3" cy="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9" name="Oval 566"/>
            <xdr:cNvSpPr>
              <a:spLocks/>
            </xdr:cNvSpPr>
          </xdr:nvSpPr>
          <xdr:spPr>
            <a:xfrm>
              <a:off x="316" y="443"/>
              <a:ext cx="3" cy="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104775</xdr:colOff>
      <xdr:row>5</xdr:row>
      <xdr:rowOff>161925</xdr:rowOff>
    </xdr:from>
    <xdr:to>
      <xdr:col>5</xdr:col>
      <xdr:colOff>57150</xdr:colOff>
      <xdr:row>5</xdr:row>
      <xdr:rowOff>161925</xdr:rowOff>
    </xdr:to>
    <xdr:sp>
      <xdr:nvSpPr>
        <xdr:cNvPr id="110" name="Line 570"/>
        <xdr:cNvSpPr>
          <a:spLocks/>
        </xdr:cNvSpPr>
      </xdr:nvSpPr>
      <xdr:spPr>
        <a:xfrm>
          <a:off x="1285875" y="1371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104775</xdr:colOff>
      <xdr:row>5</xdr:row>
      <xdr:rowOff>161925</xdr:rowOff>
    </xdr:from>
    <xdr:to>
      <xdr:col>4</xdr:col>
      <xdr:colOff>104775</xdr:colOff>
      <xdr:row>6</xdr:row>
      <xdr:rowOff>171450</xdr:rowOff>
    </xdr:to>
    <xdr:sp>
      <xdr:nvSpPr>
        <xdr:cNvPr id="111" name="Line 571"/>
        <xdr:cNvSpPr>
          <a:spLocks/>
        </xdr:cNvSpPr>
      </xdr:nvSpPr>
      <xdr:spPr>
        <a:xfrm>
          <a:off x="1285875" y="1371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171450</xdr:rowOff>
    </xdr:from>
    <xdr:to>
      <xdr:col>5</xdr:col>
      <xdr:colOff>133350</xdr:colOff>
      <xdr:row>7</xdr:row>
      <xdr:rowOff>9525</xdr:rowOff>
    </xdr:to>
    <xdr:sp>
      <xdr:nvSpPr>
        <xdr:cNvPr id="112" name="Line 572"/>
        <xdr:cNvSpPr>
          <a:spLocks/>
        </xdr:cNvSpPr>
      </xdr:nvSpPr>
      <xdr:spPr>
        <a:xfrm>
          <a:off x="1285875" y="1609725"/>
          <a:ext cx="3238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161925</xdr:rowOff>
    </xdr:from>
    <xdr:to>
      <xdr:col>5</xdr:col>
      <xdr:colOff>57150</xdr:colOff>
      <xdr:row>6</xdr:row>
      <xdr:rowOff>47625</xdr:rowOff>
    </xdr:to>
    <xdr:sp>
      <xdr:nvSpPr>
        <xdr:cNvPr id="113" name="Line 573"/>
        <xdr:cNvSpPr>
          <a:spLocks/>
        </xdr:cNvSpPr>
      </xdr:nvSpPr>
      <xdr:spPr>
        <a:xfrm>
          <a:off x="1533525" y="13716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14</xdr:col>
      <xdr:colOff>47625</xdr:colOff>
      <xdr:row>6</xdr:row>
      <xdr:rowOff>47625</xdr:rowOff>
    </xdr:to>
    <xdr:sp>
      <xdr:nvSpPr>
        <xdr:cNvPr id="114" name="Line 574"/>
        <xdr:cNvSpPr>
          <a:spLocks/>
        </xdr:cNvSpPr>
      </xdr:nvSpPr>
      <xdr:spPr>
        <a:xfrm>
          <a:off x="1533525" y="14859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114300</xdr:colOff>
      <xdr:row>7</xdr:row>
      <xdr:rowOff>9525</xdr:rowOff>
    </xdr:from>
    <xdr:to>
      <xdr:col>6</xdr:col>
      <xdr:colOff>161925</xdr:colOff>
      <xdr:row>7</xdr:row>
      <xdr:rowOff>9525</xdr:rowOff>
    </xdr:to>
    <xdr:sp>
      <xdr:nvSpPr>
        <xdr:cNvPr id="115" name="Line 575"/>
        <xdr:cNvSpPr>
          <a:spLocks/>
        </xdr:cNvSpPr>
      </xdr:nvSpPr>
      <xdr:spPr>
        <a:xfrm>
          <a:off x="1590675" y="1676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171450</xdr:rowOff>
    </xdr:from>
    <xdr:to>
      <xdr:col>7</xdr:col>
      <xdr:colOff>85725</xdr:colOff>
      <xdr:row>7</xdr:row>
      <xdr:rowOff>9525</xdr:rowOff>
    </xdr:to>
    <xdr:sp>
      <xdr:nvSpPr>
        <xdr:cNvPr id="116" name="Line 576"/>
        <xdr:cNvSpPr>
          <a:spLocks/>
        </xdr:cNvSpPr>
      </xdr:nvSpPr>
      <xdr:spPr>
        <a:xfrm flipV="1">
          <a:off x="1933575" y="1609725"/>
          <a:ext cx="219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171450</xdr:rowOff>
    </xdr:from>
    <xdr:to>
      <xdr:col>10</xdr:col>
      <xdr:colOff>200025</xdr:colOff>
      <xdr:row>6</xdr:row>
      <xdr:rowOff>171450</xdr:rowOff>
    </xdr:to>
    <xdr:sp>
      <xdr:nvSpPr>
        <xdr:cNvPr id="117" name="Line 577"/>
        <xdr:cNvSpPr>
          <a:spLocks/>
        </xdr:cNvSpPr>
      </xdr:nvSpPr>
      <xdr:spPr>
        <a:xfrm>
          <a:off x="2133600" y="16097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6</xdr:row>
      <xdr:rowOff>171450</xdr:rowOff>
    </xdr:from>
    <xdr:to>
      <xdr:col>11</xdr:col>
      <xdr:colOff>104775</xdr:colOff>
      <xdr:row>7</xdr:row>
      <xdr:rowOff>9525</xdr:rowOff>
    </xdr:to>
    <xdr:sp>
      <xdr:nvSpPr>
        <xdr:cNvPr id="118" name="Line 578"/>
        <xdr:cNvSpPr>
          <a:spLocks/>
        </xdr:cNvSpPr>
      </xdr:nvSpPr>
      <xdr:spPr>
        <a:xfrm>
          <a:off x="3143250" y="1609725"/>
          <a:ext cx="2095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104775</xdr:colOff>
      <xdr:row>7</xdr:row>
      <xdr:rowOff>9525</xdr:rowOff>
    </xdr:from>
    <xdr:to>
      <xdr:col>12</xdr:col>
      <xdr:colOff>152400</xdr:colOff>
      <xdr:row>7</xdr:row>
      <xdr:rowOff>9525</xdr:rowOff>
    </xdr:to>
    <xdr:sp>
      <xdr:nvSpPr>
        <xdr:cNvPr id="119" name="Line 579"/>
        <xdr:cNvSpPr>
          <a:spLocks/>
        </xdr:cNvSpPr>
      </xdr:nvSpPr>
      <xdr:spPr>
        <a:xfrm>
          <a:off x="3352800" y="1676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152400</xdr:colOff>
      <xdr:row>6</xdr:row>
      <xdr:rowOff>171450</xdr:rowOff>
    </xdr:from>
    <xdr:to>
      <xdr:col>13</xdr:col>
      <xdr:colOff>47625</xdr:colOff>
      <xdr:row>7</xdr:row>
      <xdr:rowOff>9525</xdr:rowOff>
    </xdr:to>
    <xdr:sp>
      <xdr:nvSpPr>
        <xdr:cNvPr id="120" name="Line 580"/>
        <xdr:cNvSpPr>
          <a:spLocks/>
        </xdr:cNvSpPr>
      </xdr:nvSpPr>
      <xdr:spPr>
        <a:xfrm flipV="1">
          <a:off x="3695700" y="1609725"/>
          <a:ext cx="1905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171450</xdr:rowOff>
    </xdr:from>
    <xdr:to>
      <xdr:col>14</xdr:col>
      <xdr:colOff>47625</xdr:colOff>
      <xdr:row>6</xdr:row>
      <xdr:rowOff>171450</xdr:rowOff>
    </xdr:to>
    <xdr:sp>
      <xdr:nvSpPr>
        <xdr:cNvPr id="121" name="Line 581"/>
        <xdr:cNvSpPr>
          <a:spLocks/>
        </xdr:cNvSpPr>
      </xdr:nvSpPr>
      <xdr:spPr>
        <a:xfrm>
          <a:off x="3886200" y="1609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104775</xdr:colOff>
      <xdr:row>7</xdr:row>
      <xdr:rowOff>0</xdr:rowOff>
    </xdr:from>
    <xdr:to>
      <xdr:col>12</xdr:col>
      <xdr:colOff>152400</xdr:colOff>
      <xdr:row>11</xdr:row>
      <xdr:rowOff>76200</xdr:rowOff>
    </xdr:to>
    <xdr:grpSp>
      <xdr:nvGrpSpPr>
        <xdr:cNvPr id="122" name="Group 582"/>
        <xdr:cNvGrpSpPr>
          <a:grpSpLocks/>
        </xdr:cNvGrpSpPr>
      </xdr:nvGrpSpPr>
      <xdr:grpSpPr>
        <a:xfrm>
          <a:off x="1581150" y="1666875"/>
          <a:ext cx="2114550" cy="990600"/>
          <a:chOff x="139" y="302"/>
          <a:chExt cx="179" cy="104"/>
        </a:xfrm>
        <a:solidFill>
          <a:srgbClr val="FFFFFF"/>
        </a:solidFill>
      </xdr:grpSpPr>
      <xdr:grpSp>
        <xdr:nvGrpSpPr>
          <xdr:cNvPr id="123" name="Group 583"/>
          <xdr:cNvGrpSpPr>
            <a:grpSpLocks/>
          </xdr:cNvGrpSpPr>
        </xdr:nvGrpSpPr>
        <xdr:grpSpPr>
          <a:xfrm>
            <a:off x="139" y="302"/>
            <a:ext cx="31" cy="104"/>
            <a:chOff x="139" y="302"/>
            <a:chExt cx="31" cy="104"/>
          </a:xfrm>
          <a:solidFill>
            <a:srgbClr val="FFFFFF"/>
          </a:solidFill>
        </xdr:grpSpPr>
        <xdr:sp>
          <xdr:nvSpPr>
            <xdr:cNvPr id="124" name="Line 584"/>
            <xdr:cNvSpPr>
              <a:spLocks/>
            </xdr:cNvSpPr>
          </xdr:nvSpPr>
          <xdr:spPr>
            <a:xfrm>
              <a:off x="139" y="302"/>
              <a:ext cx="3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25" name="Line 585"/>
            <xdr:cNvSpPr>
              <a:spLocks/>
            </xdr:cNvSpPr>
          </xdr:nvSpPr>
          <xdr:spPr>
            <a:xfrm>
              <a:off x="155" y="302"/>
              <a:ext cx="0" cy="10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26" name="Line 586"/>
            <xdr:cNvSpPr>
              <a:spLocks/>
            </xdr:cNvSpPr>
          </xdr:nvSpPr>
          <xdr:spPr>
            <a:xfrm>
              <a:off x="141" y="406"/>
              <a:ext cx="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127" name="Group 587"/>
          <xdr:cNvGrpSpPr>
            <a:grpSpLocks/>
          </xdr:cNvGrpSpPr>
        </xdr:nvGrpSpPr>
        <xdr:grpSpPr>
          <a:xfrm>
            <a:off x="287" y="302"/>
            <a:ext cx="31" cy="104"/>
            <a:chOff x="139" y="302"/>
            <a:chExt cx="31" cy="104"/>
          </a:xfrm>
          <a:solidFill>
            <a:srgbClr val="FFFFFF"/>
          </a:solidFill>
        </xdr:grpSpPr>
        <xdr:sp>
          <xdr:nvSpPr>
            <xdr:cNvPr id="128" name="Line 588"/>
            <xdr:cNvSpPr>
              <a:spLocks/>
            </xdr:cNvSpPr>
          </xdr:nvSpPr>
          <xdr:spPr>
            <a:xfrm>
              <a:off x="139" y="302"/>
              <a:ext cx="3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29" name="Line 589"/>
            <xdr:cNvSpPr>
              <a:spLocks/>
            </xdr:cNvSpPr>
          </xdr:nvSpPr>
          <xdr:spPr>
            <a:xfrm>
              <a:off x="155" y="302"/>
              <a:ext cx="0" cy="10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30" name="Line 590"/>
            <xdr:cNvSpPr>
              <a:spLocks/>
            </xdr:cNvSpPr>
          </xdr:nvSpPr>
          <xdr:spPr>
            <a:xfrm>
              <a:off x="141" y="406"/>
              <a:ext cx="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152400</xdr:colOff>
      <xdr:row>11</xdr:row>
      <xdr:rowOff>76200</xdr:rowOff>
    </xdr:from>
    <xdr:to>
      <xdr:col>12</xdr:col>
      <xdr:colOff>152400</xdr:colOff>
      <xdr:row>12</xdr:row>
      <xdr:rowOff>209550</xdr:rowOff>
    </xdr:to>
    <xdr:sp>
      <xdr:nvSpPr>
        <xdr:cNvPr id="131" name="Line 591"/>
        <xdr:cNvSpPr>
          <a:spLocks/>
        </xdr:cNvSpPr>
      </xdr:nvSpPr>
      <xdr:spPr>
        <a:xfrm flipH="1">
          <a:off x="3695700" y="2657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152400</xdr:colOff>
      <xdr:row>11</xdr:row>
      <xdr:rowOff>66675</xdr:rowOff>
    </xdr:from>
    <xdr:to>
      <xdr:col>6</xdr:col>
      <xdr:colOff>152400</xdr:colOff>
      <xdr:row>12</xdr:row>
      <xdr:rowOff>200025</xdr:rowOff>
    </xdr:to>
    <xdr:sp>
      <xdr:nvSpPr>
        <xdr:cNvPr id="132" name="Line 592"/>
        <xdr:cNvSpPr>
          <a:spLocks/>
        </xdr:cNvSpPr>
      </xdr:nvSpPr>
      <xdr:spPr>
        <a:xfrm flipH="1">
          <a:off x="1924050" y="26479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19050</xdr:rowOff>
    </xdr:from>
    <xdr:to>
      <xdr:col>5</xdr:col>
      <xdr:colOff>276225</xdr:colOff>
      <xdr:row>12</xdr:row>
      <xdr:rowOff>161925</xdr:rowOff>
    </xdr:to>
    <xdr:sp>
      <xdr:nvSpPr>
        <xdr:cNvPr id="133" name="Line 593"/>
        <xdr:cNvSpPr>
          <a:spLocks/>
        </xdr:cNvSpPr>
      </xdr:nvSpPr>
      <xdr:spPr>
        <a:xfrm flipH="1">
          <a:off x="657225" y="1685925"/>
          <a:ext cx="1095375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85725</xdr:colOff>
      <xdr:row>6</xdr:row>
      <xdr:rowOff>66675</xdr:rowOff>
    </xdr:from>
    <xdr:to>
      <xdr:col>4</xdr:col>
      <xdr:colOff>19050</xdr:colOff>
      <xdr:row>10</xdr:row>
      <xdr:rowOff>95250</xdr:rowOff>
    </xdr:to>
    <xdr:sp>
      <xdr:nvSpPr>
        <xdr:cNvPr id="134" name="Line 594"/>
        <xdr:cNvSpPr>
          <a:spLocks/>
        </xdr:cNvSpPr>
      </xdr:nvSpPr>
      <xdr:spPr>
        <a:xfrm flipH="1">
          <a:off x="676275" y="1504950"/>
          <a:ext cx="52387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0</xdr:rowOff>
    </xdr:from>
    <xdr:to>
      <xdr:col>2</xdr:col>
      <xdr:colOff>95250</xdr:colOff>
      <xdr:row>12</xdr:row>
      <xdr:rowOff>171450</xdr:rowOff>
    </xdr:to>
    <xdr:grpSp>
      <xdr:nvGrpSpPr>
        <xdr:cNvPr id="135" name="Group 595"/>
        <xdr:cNvGrpSpPr>
          <a:grpSpLocks/>
        </xdr:cNvGrpSpPr>
      </xdr:nvGrpSpPr>
      <xdr:grpSpPr>
        <a:xfrm>
          <a:off x="647700" y="1895475"/>
          <a:ext cx="38100" cy="1085850"/>
          <a:chOff x="36" y="241"/>
          <a:chExt cx="3" cy="114"/>
        </a:xfrm>
        <a:solidFill>
          <a:srgbClr val="FFFFFF"/>
        </a:solidFill>
      </xdr:grpSpPr>
      <xdr:sp>
        <xdr:nvSpPr>
          <xdr:cNvPr id="136" name="Oval 596"/>
          <xdr:cNvSpPr>
            <a:spLocks/>
          </xdr:cNvSpPr>
        </xdr:nvSpPr>
        <xdr:spPr>
          <a:xfrm>
            <a:off x="36" y="325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7" name="Oval 597"/>
          <xdr:cNvSpPr>
            <a:spLocks/>
          </xdr:cNvSpPr>
        </xdr:nvSpPr>
        <xdr:spPr>
          <a:xfrm>
            <a:off x="36" y="298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8" name="Oval 598"/>
          <xdr:cNvSpPr>
            <a:spLocks/>
          </xdr:cNvSpPr>
        </xdr:nvSpPr>
        <xdr:spPr>
          <a:xfrm>
            <a:off x="36" y="241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9" name="Oval 599"/>
          <xdr:cNvSpPr>
            <a:spLocks/>
          </xdr:cNvSpPr>
        </xdr:nvSpPr>
        <xdr:spPr>
          <a:xfrm>
            <a:off x="36" y="272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0" name="Oval 600"/>
          <xdr:cNvSpPr>
            <a:spLocks/>
          </xdr:cNvSpPr>
        </xdr:nvSpPr>
        <xdr:spPr>
          <a:xfrm>
            <a:off x="36" y="352"/>
            <a:ext cx="3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12</xdr:row>
      <xdr:rowOff>142875</xdr:rowOff>
    </xdr:from>
    <xdr:to>
      <xdr:col>14</xdr:col>
      <xdr:colOff>57150</xdr:colOff>
      <xdr:row>12</xdr:row>
      <xdr:rowOff>171450</xdr:rowOff>
    </xdr:to>
    <xdr:grpSp>
      <xdr:nvGrpSpPr>
        <xdr:cNvPr id="141" name="Group 601"/>
        <xdr:cNvGrpSpPr>
          <a:grpSpLocks/>
        </xdr:cNvGrpSpPr>
      </xdr:nvGrpSpPr>
      <xdr:grpSpPr>
        <a:xfrm>
          <a:off x="695325" y="2952750"/>
          <a:ext cx="3495675" cy="28575"/>
          <a:chOff x="50" y="357"/>
          <a:chExt cx="296" cy="3"/>
        </a:xfrm>
        <a:solidFill>
          <a:srgbClr val="FFFFFF"/>
        </a:solidFill>
      </xdr:grpSpPr>
      <xdr:sp>
        <xdr:nvSpPr>
          <xdr:cNvPr id="142" name="Line 602"/>
          <xdr:cNvSpPr>
            <a:spLocks/>
          </xdr:cNvSpPr>
        </xdr:nvSpPr>
        <xdr:spPr>
          <a:xfrm>
            <a:off x="50" y="357"/>
            <a:ext cx="2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3" name="Line 603"/>
          <xdr:cNvSpPr>
            <a:spLocks/>
          </xdr:cNvSpPr>
        </xdr:nvSpPr>
        <xdr:spPr>
          <a:xfrm>
            <a:off x="75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4" name="Line 604"/>
          <xdr:cNvSpPr>
            <a:spLocks/>
          </xdr:cNvSpPr>
        </xdr:nvSpPr>
        <xdr:spPr>
          <a:xfrm>
            <a:off x="100" y="358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5" name="Line 605"/>
          <xdr:cNvSpPr>
            <a:spLocks/>
          </xdr:cNvSpPr>
        </xdr:nvSpPr>
        <xdr:spPr>
          <a:xfrm>
            <a:off x="125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6" name="Line 606"/>
          <xdr:cNvSpPr>
            <a:spLocks/>
          </xdr:cNvSpPr>
        </xdr:nvSpPr>
        <xdr:spPr>
          <a:xfrm>
            <a:off x="150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7" name="Line 607"/>
          <xdr:cNvSpPr>
            <a:spLocks/>
          </xdr:cNvSpPr>
        </xdr:nvSpPr>
        <xdr:spPr>
          <a:xfrm>
            <a:off x="175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8" name="Line 608"/>
          <xdr:cNvSpPr>
            <a:spLocks/>
          </xdr:cNvSpPr>
        </xdr:nvSpPr>
        <xdr:spPr>
          <a:xfrm>
            <a:off x="200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9" name="Line 609"/>
          <xdr:cNvSpPr>
            <a:spLocks/>
          </xdr:cNvSpPr>
        </xdr:nvSpPr>
        <xdr:spPr>
          <a:xfrm>
            <a:off x="225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0" name="Line 610"/>
          <xdr:cNvSpPr>
            <a:spLocks/>
          </xdr:cNvSpPr>
        </xdr:nvSpPr>
        <xdr:spPr>
          <a:xfrm>
            <a:off x="250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1" name="Line 611"/>
          <xdr:cNvSpPr>
            <a:spLocks/>
          </xdr:cNvSpPr>
        </xdr:nvSpPr>
        <xdr:spPr>
          <a:xfrm>
            <a:off x="275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2" name="Line 612"/>
          <xdr:cNvSpPr>
            <a:spLocks/>
          </xdr:cNvSpPr>
        </xdr:nvSpPr>
        <xdr:spPr>
          <a:xfrm>
            <a:off x="300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3" name="Line 613"/>
          <xdr:cNvSpPr>
            <a:spLocks/>
          </xdr:cNvSpPr>
        </xdr:nvSpPr>
        <xdr:spPr>
          <a:xfrm>
            <a:off x="325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12</xdr:row>
      <xdr:rowOff>142875</xdr:rowOff>
    </xdr:from>
    <xdr:to>
      <xdr:col>27</xdr:col>
      <xdr:colOff>190500</xdr:colOff>
      <xdr:row>12</xdr:row>
      <xdr:rowOff>171450</xdr:rowOff>
    </xdr:to>
    <xdr:grpSp>
      <xdr:nvGrpSpPr>
        <xdr:cNvPr id="154" name="Group 614"/>
        <xdr:cNvGrpSpPr>
          <a:grpSpLocks/>
        </xdr:cNvGrpSpPr>
      </xdr:nvGrpSpPr>
      <xdr:grpSpPr>
        <a:xfrm>
          <a:off x="4438650" y="2952750"/>
          <a:ext cx="3724275" cy="28575"/>
          <a:chOff x="367" y="357"/>
          <a:chExt cx="315" cy="3"/>
        </a:xfrm>
        <a:solidFill>
          <a:srgbClr val="FFFFFF"/>
        </a:solidFill>
      </xdr:grpSpPr>
      <xdr:grpSp>
        <xdr:nvGrpSpPr>
          <xdr:cNvPr id="155" name="Group 615"/>
          <xdr:cNvGrpSpPr>
            <a:grpSpLocks/>
          </xdr:cNvGrpSpPr>
        </xdr:nvGrpSpPr>
        <xdr:grpSpPr>
          <a:xfrm>
            <a:off x="386" y="357"/>
            <a:ext cx="296" cy="3"/>
            <a:chOff x="50" y="357"/>
            <a:chExt cx="296" cy="3"/>
          </a:xfrm>
          <a:solidFill>
            <a:srgbClr val="FFFFFF"/>
          </a:solidFill>
        </xdr:grpSpPr>
        <xdr:sp>
          <xdr:nvSpPr>
            <xdr:cNvPr id="156" name="Line 616"/>
            <xdr:cNvSpPr>
              <a:spLocks/>
            </xdr:cNvSpPr>
          </xdr:nvSpPr>
          <xdr:spPr>
            <a:xfrm>
              <a:off x="50" y="357"/>
              <a:ext cx="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7" name="Line 617"/>
            <xdr:cNvSpPr>
              <a:spLocks/>
            </xdr:cNvSpPr>
          </xdr:nvSpPr>
          <xdr:spPr>
            <a:xfrm>
              <a:off x="7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8" name="Line 618"/>
            <xdr:cNvSpPr>
              <a:spLocks/>
            </xdr:cNvSpPr>
          </xdr:nvSpPr>
          <xdr:spPr>
            <a:xfrm>
              <a:off x="100" y="358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9" name="Line 619"/>
            <xdr:cNvSpPr>
              <a:spLocks/>
            </xdr:cNvSpPr>
          </xdr:nvSpPr>
          <xdr:spPr>
            <a:xfrm>
              <a:off x="12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0" name="Line 620"/>
            <xdr:cNvSpPr>
              <a:spLocks/>
            </xdr:cNvSpPr>
          </xdr:nvSpPr>
          <xdr:spPr>
            <a:xfrm>
              <a:off x="150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1" name="Line 621"/>
            <xdr:cNvSpPr>
              <a:spLocks/>
            </xdr:cNvSpPr>
          </xdr:nvSpPr>
          <xdr:spPr>
            <a:xfrm>
              <a:off x="17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2" name="Line 622"/>
            <xdr:cNvSpPr>
              <a:spLocks/>
            </xdr:cNvSpPr>
          </xdr:nvSpPr>
          <xdr:spPr>
            <a:xfrm>
              <a:off x="200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3" name="Line 623"/>
            <xdr:cNvSpPr>
              <a:spLocks/>
            </xdr:cNvSpPr>
          </xdr:nvSpPr>
          <xdr:spPr>
            <a:xfrm>
              <a:off x="22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4" name="Line 624"/>
            <xdr:cNvSpPr>
              <a:spLocks/>
            </xdr:cNvSpPr>
          </xdr:nvSpPr>
          <xdr:spPr>
            <a:xfrm>
              <a:off x="250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5" name="Line 625"/>
            <xdr:cNvSpPr>
              <a:spLocks/>
            </xdr:cNvSpPr>
          </xdr:nvSpPr>
          <xdr:spPr>
            <a:xfrm>
              <a:off x="27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6" name="Line 626"/>
            <xdr:cNvSpPr>
              <a:spLocks/>
            </xdr:cNvSpPr>
          </xdr:nvSpPr>
          <xdr:spPr>
            <a:xfrm>
              <a:off x="300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67" name="Line 627"/>
            <xdr:cNvSpPr>
              <a:spLocks/>
            </xdr:cNvSpPr>
          </xdr:nvSpPr>
          <xdr:spPr>
            <a:xfrm>
              <a:off x="325" y="357"/>
              <a:ext cx="0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168" name="Line 628"/>
          <xdr:cNvSpPr>
            <a:spLocks/>
          </xdr:cNvSpPr>
        </xdr:nvSpPr>
        <xdr:spPr>
          <a:xfrm flipH="1">
            <a:off x="367" y="357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9" name="Line 629"/>
          <xdr:cNvSpPr>
            <a:spLocks/>
          </xdr:cNvSpPr>
        </xdr:nvSpPr>
        <xdr:spPr>
          <a:xfrm>
            <a:off x="386" y="357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13</xdr:row>
      <xdr:rowOff>85725</xdr:rowOff>
    </xdr:from>
    <xdr:to>
      <xdr:col>2</xdr:col>
      <xdr:colOff>38100</xdr:colOff>
      <xdr:row>17</xdr:row>
      <xdr:rowOff>85725</xdr:rowOff>
    </xdr:to>
    <xdr:sp>
      <xdr:nvSpPr>
        <xdr:cNvPr id="170" name="Line 630"/>
        <xdr:cNvSpPr>
          <a:spLocks/>
        </xdr:cNvSpPr>
      </xdr:nvSpPr>
      <xdr:spPr>
        <a:xfrm>
          <a:off x="628650" y="31242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161925</xdr:rowOff>
    </xdr:from>
    <xdr:to>
      <xdr:col>4</xdr:col>
      <xdr:colOff>38100</xdr:colOff>
      <xdr:row>17</xdr:row>
      <xdr:rowOff>95250</xdr:rowOff>
    </xdr:to>
    <xdr:sp>
      <xdr:nvSpPr>
        <xdr:cNvPr id="171" name="Line 631"/>
        <xdr:cNvSpPr>
          <a:spLocks/>
        </xdr:cNvSpPr>
      </xdr:nvSpPr>
      <xdr:spPr>
        <a:xfrm>
          <a:off x="1219200" y="160020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285750</xdr:colOff>
      <xdr:row>11</xdr:row>
      <xdr:rowOff>161925</xdr:rowOff>
    </xdr:from>
    <xdr:to>
      <xdr:col>23</xdr:col>
      <xdr:colOff>285750</xdr:colOff>
      <xdr:row>17</xdr:row>
      <xdr:rowOff>57150</xdr:rowOff>
    </xdr:to>
    <xdr:sp>
      <xdr:nvSpPr>
        <xdr:cNvPr id="172" name="Line 632"/>
        <xdr:cNvSpPr>
          <a:spLocks/>
        </xdr:cNvSpPr>
      </xdr:nvSpPr>
      <xdr:spPr>
        <a:xfrm>
          <a:off x="7077075" y="27432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228600</xdr:colOff>
      <xdr:row>13</xdr:row>
      <xdr:rowOff>57150</xdr:rowOff>
    </xdr:from>
    <xdr:to>
      <xdr:col>27</xdr:col>
      <xdr:colOff>228600</xdr:colOff>
      <xdr:row>17</xdr:row>
      <xdr:rowOff>57150</xdr:rowOff>
    </xdr:to>
    <xdr:sp>
      <xdr:nvSpPr>
        <xdr:cNvPr id="173" name="Line 633"/>
        <xdr:cNvSpPr>
          <a:spLocks/>
        </xdr:cNvSpPr>
      </xdr:nvSpPr>
      <xdr:spPr>
        <a:xfrm>
          <a:off x="8201025" y="30956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9525</xdr:colOff>
      <xdr:row>17</xdr:row>
      <xdr:rowOff>9525</xdr:rowOff>
    </xdr:from>
    <xdr:to>
      <xdr:col>27</xdr:col>
      <xdr:colOff>238125</xdr:colOff>
      <xdr:row>17</xdr:row>
      <xdr:rowOff>9525</xdr:rowOff>
    </xdr:to>
    <xdr:sp>
      <xdr:nvSpPr>
        <xdr:cNvPr id="174" name="Line 634"/>
        <xdr:cNvSpPr>
          <a:spLocks/>
        </xdr:cNvSpPr>
      </xdr:nvSpPr>
      <xdr:spPr>
        <a:xfrm>
          <a:off x="7096125" y="39624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</xdr:rowOff>
    </xdr:from>
    <xdr:to>
      <xdr:col>4</xdr:col>
      <xdr:colOff>19050</xdr:colOff>
      <xdr:row>17</xdr:row>
      <xdr:rowOff>9525</xdr:rowOff>
    </xdr:to>
    <xdr:sp>
      <xdr:nvSpPr>
        <xdr:cNvPr id="175" name="Line 636"/>
        <xdr:cNvSpPr>
          <a:spLocks/>
        </xdr:cNvSpPr>
      </xdr:nvSpPr>
      <xdr:spPr>
        <a:xfrm>
          <a:off x="609600" y="3962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152400</xdr:rowOff>
    </xdr:from>
    <xdr:to>
      <xdr:col>5</xdr:col>
      <xdr:colOff>85725</xdr:colOff>
      <xdr:row>6</xdr:row>
      <xdr:rowOff>114300</xdr:rowOff>
    </xdr:to>
    <xdr:sp>
      <xdr:nvSpPr>
        <xdr:cNvPr id="176" name="AutoShape 642"/>
        <xdr:cNvSpPr>
          <a:spLocks/>
        </xdr:cNvSpPr>
      </xdr:nvSpPr>
      <xdr:spPr>
        <a:xfrm>
          <a:off x="1266825" y="1362075"/>
          <a:ext cx="295275" cy="190500"/>
        </a:xfrm>
        <a:custGeom>
          <a:pathLst>
            <a:path h="20" w="25">
              <a:moveTo>
                <a:pt x="0" y="20"/>
              </a:moveTo>
              <a:lnTo>
                <a:pt x="0" y="0"/>
              </a:lnTo>
              <a:lnTo>
                <a:pt x="25" y="0"/>
              </a:lnTo>
              <a:lnTo>
                <a:pt x="25" y="11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66675</xdr:rowOff>
    </xdr:from>
    <xdr:to>
      <xdr:col>4</xdr:col>
      <xdr:colOff>66675</xdr:colOff>
      <xdr:row>6</xdr:row>
      <xdr:rowOff>123825</xdr:rowOff>
    </xdr:to>
    <xdr:sp>
      <xdr:nvSpPr>
        <xdr:cNvPr id="177" name="Oval 643"/>
        <xdr:cNvSpPr>
          <a:spLocks/>
        </xdr:cNvSpPr>
      </xdr:nvSpPr>
      <xdr:spPr>
        <a:xfrm>
          <a:off x="1181100" y="1504950"/>
          <a:ext cx="66675" cy="57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190500</xdr:colOff>
      <xdr:row>5</xdr:row>
      <xdr:rowOff>142875</xdr:rowOff>
    </xdr:from>
    <xdr:to>
      <xdr:col>25</xdr:col>
      <xdr:colOff>190500</xdr:colOff>
      <xdr:row>6</xdr:row>
      <xdr:rowOff>104775</xdr:rowOff>
    </xdr:to>
    <xdr:sp>
      <xdr:nvSpPr>
        <xdr:cNvPr id="178" name="AutoShape 648"/>
        <xdr:cNvSpPr>
          <a:spLocks/>
        </xdr:cNvSpPr>
      </xdr:nvSpPr>
      <xdr:spPr>
        <a:xfrm>
          <a:off x="7277100" y="1352550"/>
          <a:ext cx="295275" cy="190500"/>
        </a:xfrm>
        <a:custGeom>
          <a:pathLst>
            <a:path h="20" w="25">
              <a:moveTo>
                <a:pt x="25" y="20"/>
              </a:moveTo>
              <a:lnTo>
                <a:pt x="25" y="0"/>
              </a:lnTo>
              <a:lnTo>
                <a:pt x="0" y="0"/>
              </a:lnTo>
              <a:lnTo>
                <a:pt x="0" y="1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200025</xdr:colOff>
      <xdr:row>6</xdr:row>
      <xdr:rowOff>57150</xdr:rowOff>
    </xdr:from>
    <xdr:to>
      <xdr:col>25</xdr:col>
      <xdr:colOff>276225</xdr:colOff>
      <xdr:row>6</xdr:row>
      <xdr:rowOff>114300</xdr:rowOff>
    </xdr:to>
    <xdr:sp>
      <xdr:nvSpPr>
        <xdr:cNvPr id="179" name="Oval 649"/>
        <xdr:cNvSpPr>
          <a:spLocks/>
        </xdr:cNvSpPr>
      </xdr:nvSpPr>
      <xdr:spPr>
        <a:xfrm flipH="1">
          <a:off x="7581900" y="1495425"/>
          <a:ext cx="66675" cy="57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6</xdr:row>
      <xdr:rowOff>180975</xdr:rowOff>
    </xdr:from>
    <xdr:to>
      <xdr:col>8</xdr:col>
      <xdr:colOff>57150</xdr:colOff>
      <xdr:row>7</xdr:row>
      <xdr:rowOff>47625</xdr:rowOff>
    </xdr:to>
    <xdr:sp>
      <xdr:nvSpPr>
        <xdr:cNvPr id="1" name="Oval 18"/>
        <xdr:cNvSpPr>
          <a:spLocks/>
        </xdr:cNvSpPr>
      </xdr:nvSpPr>
      <xdr:spPr>
        <a:xfrm>
          <a:off x="2305050" y="16097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76200</xdr:rowOff>
    </xdr:from>
    <xdr:to>
      <xdr:col>8</xdr:col>
      <xdr:colOff>0</xdr:colOff>
      <xdr:row>10</xdr:row>
      <xdr:rowOff>0</xdr:rowOff>
    </xdr:to>
    <xdr:sp>
      <xdr:nvSpPr>
        <xdr:cNvPr id="2" name="Line 33"/>
        <xdr:cNvSpPr>
          <a:spLocks/>
        </xdr:cNvSpPr>
      </xdr:nvSpPr>
      <xdr:spPr>
        <a:xfrm>
          <a:off x="2362200" y="1733550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76200</xdr:rowOff>
    </xdr:from>
    <xdr:to>
      <xdr:col>18</xdr:col>
      <xdr:colOff>0</xdr:colOff>
      <xdr:row>10</xdr:row>
      <xdr:rowOff>0</xdr:rowOff>
    </xdr:to>
    <xdr:sp>
      <xdr:nvSpPr>
        <xdr:cNvPr id="3" name="Line 34"/>
        <xdr:cNvSpPr>
          <a:spLocks/>
        </xdr:cNvSpPr>
      </xdr:nvSpPr>
      <xdr:spPr>
        <a:xfrm>
          <a:off x="5400675" y="1733550"/>
          <a:ext cx="0" cy="609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4" name="Line 35"/>
        <xdr:cNvSpPr>
          <a:spLocks/>
        </xdr:cNvSpPr>
      </xdr:nvSpPr>
      <xdr:spPr>
        <a:xfrm>
          <a:off x="2362200" y="2343150"/>
          <a:ext cx="30384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247650</xdr:colOff>
      <xdr:row>6</xdr:row>
      <xdr:rowOff>85725</xdr:rowOff>
    </xdr:from>
    <xdr:to>
      <xdr:col>19</xdr:col>
      <xdr:colOff>57150</xdr:colOff>
      <xdr:row>6</xdr:row>
      <xdr:rowOff>180975</xdr:rowOff>
    </xdr:to>
    <xdr:sp>
      <xdr:nvSpPr>
        <xdr:cNvPr id="5" name="AutoShape 58"/>
        <xdr:cNvSpPr>
          <a:spLocks/>
        </xdr:cNvSpPr>
      </xdr:nvSpPr>
      <xdr:spPr>
        <a:xfrm rot="5400000" flipH="1">
          <a:off x="2019300" y="1514475"/>
          <a:ext cx="3733800" cy="95250"/>
        </a:xfrm>
        <a:prstGeom prst="can">
          <a:avLst>
            <a:gd name="adj" fmla="val -47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6</xdr:row>
      <xdr:rowOff>180975</xdr:rowOff>
    </xdr:from>
    <xdr:to>
      <xdr:col>18</xdr:col>
      <xdr:colOff>57150</xdr:colOff>
      <xdr:row>7</xdr:row>
      <xdr:rowOff>47625</xdr:rowOff>
    </xdr:to>
    <xdr:sp>
      <xdr:nvSpPr>
        <xdr:cNvPr id="6" name="Oval 59"/>
        <xdr:cNvSpPr>
          <a:spLocks/>
        </xdr:cNvSpPr>
      </xdr:nvSpPr>
      <xdr:spPr>
        <a:xfrm>
          <a:off x="5343525" y="16097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38100</xdr:rowOff>
    </xdr:from>
    <xdr:to>
      <xdr:col>8</xdr:col>
      <xdr:colOff>85725</xdr:colOff>
      <xdr:row>6</xdr:row>
      <xdr:rowOff>85725</xdr:rowOff>
    </xdr:to>
    <xdr:sp>
      <xdr:nvSpPr>
        <xdr:cNvPr id="7" name="Rectangle 68"/>
        <xdr:cNvSpPr>
          <a:spLocks/>
        </xdr:cNvSpPr>
      </xdr:nvSpPr>
      <xdr:spPr>
        <a:xfrm>
          <a:off x="2085975" y="1466850"/>
          <a:ext cx="3619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85725</xdr:colOff>
      <xdr:row>6</xdr:row>
      <xdr:rowOff>38100</xdr:rowOff>
    </xdr:from>
    <xdr:to>
      <xdr:col>9</xdr:col>
      <xdr:colOff>142875</xdr:colOff>
      <xdr:row>6</xdr:row>
      <xdr:rowOff>85725</xdr:rowOff>
    </xdr:to>
    <xdr:sp>
      <xdr:nvSpPr>
        <xdr:cNvPr id="8" name="Rectangle 69"/>
        <xdr:cNvSpPr>
          <a:spLocks/>
        </xdr:cNvSpPr>
      </xdr:nvSpPr>
      <xdr:spPr>
        <a:xfrm>
          <a:off x="2447925" y="146685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38100</xdr:rowOff>
    </xdr:from>
    <xdr:to>
      <xdr:col>10</xdr:col>
      <xdr:colOff>200025</xdr:colOff>
      <xdr:row>6</xdr:row>
      <xdr:rowOff>85725</xdr:rowOff>
    </xdr:to>
    <xdr:sp>
      <xdr:nvSpPr>
        <xdr:cNvPr id="9" name="Rectangle 70"/>
        <xdr:cNvSpPr>
          <a:spLocks/>
        </xdr:cNvSpPr>
      </xdr:nvSpPr>
      <xdr:spPr>
        <a:xfrm>
          <a:off x="2800350" y="1466850"/>
          <a:ext cx="3810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200025</xdr:colOff>
      <xdr:row>6</xdr:row>
      <xdr:rowOff>38100</xdr:rowOff>
    </xdr:from>
    <xdr:to>
      <xdr:col>11</xdr:col>
      <xdr:colOff>257175</xdr:colOff>
      <xdr:row>6</xdr:row>
      <xdr:rowOff>85725</xdr:rowOff>
    </xdr:to>
    <xdr:sp>
      <xdr:nvSpPr>
        <xdr:cNvPr id="10" name="Rectangle 71"/>
        <xdr:cNvSpPr>
          <a:spLocks/>
        </xdr:cNvSpPr>
      </xdr:nvSpPr>
      <xdr:spPr>
        <a:xfrm>
          <a:off x="3181350" y="1466850"/>
          <a:ext cx="40957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6</xdr:row>
      <xdr:rowOff>38100</xdr:rowOff>
    </xdr:from>
    <xdr:to>
      <xdr:col>13</xdr:col>
      <xdr:colOff>0</xdr:colOff>
      <xdr:row>6</xdr:row>
      <xdr:rowOff>85725</xdr:rowOff>
    </xdr:to>
    <xdr:sp>
      <xdr:nvSpPr>
        <xdr:cNvPr id="11" name="Rectangle 72"/>
        <xdr:cNvSpPr>
          <a:spLocks/>
        </xdr:cNvSpPr>
      </xdr:nvSpPr>
      <xdr:spPr>
        <a:xfrm>
          <a:off x="3590925" y="1466850"/>
          <a:ext cx="33337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38100</xdr:rowOff>
    </xdr:from>
    <xdr:to>
      <xdr:col>14</xdr:col>
      <xdr:colOff>57150</xdr:colOff>
      <xdr:row>6</xdr:row>
      <xdr:rowOff>85725</xdr:rowOff>
    </xdr:to>
    <xdr:sp>
      <xdr:nvSpPr>
        <xdr:cNvPr id="12" name="Rectangle 73"/>
        <xdr:cNvSpPr>
          <a:spLocks/>
        </xdr:cNvSpPr>
      </xdr:nvSpPr>
      <xdr:spPr>
        <a:xfrm>
          <a:off x="3924300" y="146685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57150</xdr:colOff>
      <xdr:row>6</xdr:row>
      <xdr:rowOff>38100</xdr:rowOff>
    </xdr:from>
    <xdr:to>
      <xdr:col>15</xdr:col>
      <xdr:colOff>114300</xdr:colOff>
      <xdr:row>6</xdr:row>
      <xdr:rowOff>85725</xdr:rowOff>
    </xdr:to>
    <xdr:sp>
      <xdr:nvSpPr>
        <xdr:cNvPr id="13" name="Rectangle 74"/>
        <xdr:cNvSpPr>
          <a:spLocks/>
        </xdr:cNvSpPr>
      </xdr:nvSpPr>
      <xdr:spPr>
        <a:xfrm>
          <a:off x="4276725" y="146685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114300</xdr:colOff>
      <xdr:row>6</xdr:row>
      <xdr:rowOff>38100</xdr:rowOff>
    </xdr:from>
    <xdr:to>
      <xdr:col>16</xdr:col>
      <xdr:colOff>180975</xdr:colOff>
      <xdr:row>6</xdr:row>
      <xdr:rowOff>85725</xdr:rowOff>
    </xdr:to>
    <xdr:sp>
      <xdr:nvSpPr>
        <xdr:cNvPr id="14" name="Rectangle 75"/>
        <xdr:cNvSpPr>
          <a:spLocks/>
        </xdr:cNvSpPr>
      </xdr:nvSpPr>
      <xdr:spPr>
        <a:xfrm>
          <a:off x="4629150" y="1466850"/>
          <a:ext cx="3619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6</xdr:row>
      <xdr:rowOff>38100</xdr:rowOff>
    </xdr:from>
    <xdr:to>
      <xdr:col>17</xdr:col>
      <xdr:colOff>238125</xdr:colOff>
      <xdr:row>6</xdr:row>
      <xdr:rowOff>85725</xdr:rowOff>
    </xdr:to>
    <xdr:sp>
      <xdr:nvSpPr>
        <xdr:cNvPr id="15" name="Rectangle 76"/>
        <xdr:cNvSpPr>
          <a:spLocks/>
        </xdr:cNvSpPr>
      </xdr:nvSpPr>
      <xdr:spPr>
        <a:xfrm>
          <a:off x="4991100" y="146685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6</xdr:row>
      <xdr:rowOff>38100</xdr:rowOff>
    </xdr:from>
    <xdr:to>
      <xdr:col>18</xdr:col>
      <xdr:colOff>295275</xdr:colOff>
      <xdr:row>6</xdr:row>
      <xdr:rowOff>85725</xdr:rowOff>
    </xdr:to>
    <xdr:sp>
      <xdr:nvSpPr>
        <xdr:cNvPr id="16" name="Rectangle 77"/>
        <xdr:cNvSpPr>
          <a:spLocks/>
        </xdr:cNvSpPr>
      </xdr:nvSpPr>
      <xdr:spPr>
        <a:xfrm>
          <a:off x="5343525" y="1466850"/>
          <a:ext cx="3524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38100</xdr:rowOff>
    </xdr:from>
    <xdr:to>
      <xdr:col>18</xdr:col>
      <xdr:colOff>0</xdr:colOff>
      <xdr:row>6</xdr:row>
      <xdr:rowOff>38100</xdr:rowOff>
    </xdr:to>
    <xdr:sp>
      <xdr:nvSpPr>
        <xdr:cNvPr id="17" name="Rectangle 80"/>
        <xdr:cNvSpPr>
          <a:spLocks/>
        </xdr:cNvSpPr>
      </xdr:nvSpPr>
      <xdr:spPr>
        <a:xfrm>
          <a:off x="2362200" y="1238250"/>
          <a:ext cx="30384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28575</xdr:rowOff>
    </xdr:from>
    <xdr:to>
      <xdr:col>13</xdr:col>
      <xdr:colOff>0</xdr:colOff>
      <xdr:row>6</xdr:row>
      <xdr:rowOff>38100</xdr:rowOff>
    </xdr:to>
    <xdr:sp>
      <xdr:nvSpPr>
        <xdr:cNvPr id="18" name="Line 81"/>
        <xdr:cNvSpPr>
          <a:spLocks/>
        </xdr:cNvSpPr>
      </xdr:nvSpPr>
      <xdr:spPr>
        <a:xfrm>
          <a:off x="3924300" y="1000125"/>
          <a:ext cx="0" cy="466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38100</xdr:rowOff>
    </xdr:from>
    <xdr:to>
      <xdr:col>16</xdr:col>
      <xdr:colOff>0</xdr:colOff>
      <xdr:row>6</xdr:row>
      <xdr:rowOff>38100</xdr:rowOff>
    </xdr:to>
    <xdr:sp>
      <xdr:nvSpPr>
        <xdr:cNvPr id="19" name="Line 82"/>
        <xdr:cNvSpPr>
          <a:spLocks/>
        </xdr:cNvSpPr>
      </xdr:nvSpPr>
      <xdr:spPr>
        <a:xfrm>
          <a:off x="4810125" y="1238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180975</xdr:rowOff>
    </xdr:from>
    <xdr:to>
      <xdr:col>13</xdr:col>
      <xdr:colOff>295275</xdr:colOff>
      <xdr:row>8</xdr:row>
      <xdr:rowOff>133350</xdr:rowOff>
    </xdr:to>
    <xdr:sp>
      <xdr:nvSpPr>
        <xdr:cNvPr id="20" name="AutoShape 85"/>
        <xdr:cNvSpPr>
          <a:spLocks/>
        </xdr:cNvSpPr>
      </xdr:nvSpPr>
      <xdr:spPr>
        <a:xfrm rot="5400000" flipH="1">
          <a:off x="3924300" y="1609725"/>
          <a:ext cx="295275" cy="409575"/>
        </a:xfrm>
        <a:prstGeom prst="curvedConnector3">
          <a:avLst>
            <a:gd name="adj1" fmla="val -46879"/>
            <a:gd name="adj2" fmla="val 1534000"/>
            <a:gd name="adj3" fmla="val -736046"/>
          </a:avLst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21" name="Line 90"/>
        <xdr:cNvSpPr>
          <a:spLocks/>
        </xdr:cNvSpPr>
      </xdr:nvSpPr>
      <xdr:spPr>
        <a:xfrm>
          <a:off x="2657475" y="971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133350</xdr:rowOff>
    </xdr:from>
    <xdr:to>
      <xdr:col>18</xdr:col>
      <xdr:colOff>0</xdr:colOff>
      <xdr:row>5</xdr:row>
      <xdr:rowOff>28575</xdr:rowOff>
    </xdr:to>
    <xdr:sp>
      <xdr:nvSpPr>
        <xdr:cNvPr id="22" name="Arc 91"/>
        <xdr:cNvSpPr>
          <a:spLocks/>
        </xdr:cNvSpPr>
      </xdr:nvSpPr>
      <xdr:spPr>
        <a:xfrm flipH="1">
          <a:off x="4810125" y="876300"/>
          <a:ext cx="590550" cy="352425"/>
        </a:xfrm>
        <a:prstGeom prst="arc">
          <a:avLst/>
        </a:prstGeom>
        <a:noFill/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6</xdr:row>
      <xdr:rowOff>38100</xdr:rowOff>
    </xdr:to>
    <xdr:sp>
      <xdr:nvSpPr>
        <xdr:cNvPr id="23" name="Line 92"/>
        <xdr:cNvSpPr>
          <a:spLocks/>
        </xdr:cNvSpPr>
      </xdr:nvSpPr>
      <xdr:spPr>
        <a:xfrm>
          <a:off x="3333750" y="971550"/>
          <a:ext cx="2952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57150</xdr:colOff>
      <xdr:row>7</xdr:row>
      <xdr:rowOff>0</xdr:rowOff>
    </xdr:from>
    <xdr:to>
      <xdr:col>20</xdr:col>
      <xdr:colOff>9525</xdr:colOff>
      <xdr:row>8</xdr:row>
      <xdr:rowOff>95250</xdr:rowOff>
    </xdr:to>
    <xdr:sp>
      <xdr:nvSpPr>
        <xdr:cNvPr id="24" name="AutoShape 93"/>
        <xdr:cNvSpPr>
          <a:spLocks/>
        </xdr:cNvSpPr>
      </xdr:nvSpPr>
      <xdr:spPr>
        <a:xfrm rot="10800000">
          <a:off x="5457825" y="1657350"/>
          <a:ext cx="542925" cy="323850"/>
        </a:xfrm>
        <a:prstGeom prst="curvedConnector3">
          <a:avLst>
            <a:gd name="adj1" fmla="val 0"/>
            <a:gd name="adj2" fmla="val -1279412"/>
            <a:gd name="adj3" fmla="val -1030435"/>
          </a:avLst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11</xdr:row>
      <xdr:rowOff>104775</xdr:rowOff>
    </xdr:from>
    <xdr:to>
      <xdr:col>17</xdr:col>
      <xdr:colOff>161925</xdr:colOff>
      <xdr:row>16</xdr:row>
      <xdr:rowOff>123825</xdr:rowOff>
    </xdr:to>
    <xdr:sp>
      <xdr:nvSpPr>
        <xdr:cNvPr id="1" name="Rectangle 164"/>
        <xdr:cNvSpPr>
          <a:spLocks/>
        </xdr:cNvSpPr>
      </xdr:nvSpPr>
      <xdr:spPr>
        <a:xfrm>
          <a:off x="4295775" y="2619375"/>
          <a:ext cx="885825" cy="11620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11</xdr:col>
      <xdr:colOff>114300</xdr:colOff>
      <xdr:row>13</xdr:row>
      <xdr:rowOff>200025</xdr:rowOff>
    </xdr:from>
    <xdr:to>
      <xdr:col>20</xdr:col>
      <xdr:colOff>152400</xdr:colOff>
      <xdr:row>14</xdr:row>
      <xdr:rowOff>28575</xdr:rowOff>
    </xdr:to>
    <xdr:grpSp>
      <xdr:nvGrpSpPr>
        <xdr:cNvPr id="2" name="Group 51"/>
        <xdr:cNvGrpSpPr>
          <a:grpSpLocks/>
        </xdr:cNvGrpSpPr>
      </xdr:nvGrpSpPr>
      <xdr:grpSpPr>
        <a:xfrm>
          <a:off x="3362325" y="3171825"/>
          <a:ext cx="2695575" cy="57150"/>
          <a:chOff x="66" y="-5410499"/>
          <a:chExt cx="20210" cy="1338"/>
        </a:xfrm>
        <a:solidFill>
          <a:srgbClr val="FFFFFF"/>
        </a:solidFill>
      </xdr:grpSpPr>
      <xdr:sp>
        <xdr:nvSpPr>
          <xdr:cNvPr id="3" name="Line 52"/>
          <xdr:cNvSpPr>
            <a:spLocks/>
          </xdr:cNvSpPr>
        </xdr:nvSpPr>
        <xdr:spPr>
          <a:xfrm>
            <a:off x="66" y="-5410499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53"/>
          <xdr:cNvSpPr>
            <a:spLocks/>
          </xdr:cNvSpPr>
        </xdr:nvSpPr>
        <xdr:spPr>
          <a:xfrm>
            <a:off x="66" y="-5409161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11</xdr:col>
      <xdr:colOff>114300</xdr:colOff>
      <xdr:row>18</xdr:row>
      <xdr:rowOff>200025</xdr:rowOff>
    </xdr:from>
    <xdr:to>
      <xdr:col>20</xdr:col>
      <xdr:colOff>161925</xdr:colOff>
      <xdr:row>19</xdr:row>
      <xdr:rowOff>28575</xdr:rowOff>
    </xdr:to>
    <xdr:grpSp>
      <xdr:nvGrpSpPr>
        <xdr:cNvPr id="5" name="Group 54"/>
        <xdr:cNvGrpSpPr>
          <a:grpSpLocks/>
        </xdr:cNvGrpSpPr>
      </xdr:nvGrpSpPr>
      <xdr:grpSpPr>
        <a:xfrm>
          <a:off x="3362325" y="4314825"/>
          <a:ext cx="2705100" cy="57150"/>
          <a:chOff x="-962" y="-7214286"/>
          <a:chExt cx="19780" cy="1332"/>
        </a:xfrm>
        <a:solidFill>
          <a:srgbClr val="FFFFFF"/>
        </a:solidFill>
      </xdr:grpSpPr>
      <xdr:sp>
        <xdr:nvSpPr>
          <xdr:cNvPr id="6" name="Line 55"/>
          <xdr:cNvSpPr>
            <a:spLocks/>
          </xdr:cNvSpPr>
        </xdr:nvSpPr>
        <xdr:spPr>
          <a:xfrm>
            <a:off x="-962" y="-7214286"/>
            <a:ext cx="197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Line 56"/>
          <xdr:cNvSpPr>
            <a:spLocks/>
          </xdr:cNvSpPr>
        </xdr:nvSpPr>
        <xdr:spPr>
          <a:xfrm>
            <a:off x="-962" y="-7212954"/>
            <a:ext cx="197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8</xdr:row>
      <xdr:rowOff>104775</xdr:rowOff>
    </xdr:from>
    <xdr:to>
      <xdr:col>16</xdr:col>
      <xdr:colOff>19050</xdr:colOff>
      <xdr:row>19</xdr:row>
      <xdr:rowOff>142875</xdr:rowOff>
    </xdr:to>
    <xdr:sp>
      <xdr:nvSpPr>
        <xdr:cNvPr id="8" name="Line 70"/>
        <xdr:cNvSpPr>
          <a:spLocks/>
        </xdr:cNvSpPr>
      </xdr:nvSpPr>
      <xdr:spPr>
        <a:xfrm>
          <a:off x="4743450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285750</xdr:colOff>
      <xdr:row>8</xdr:row>
      <xdr:rowOff>104775</xdr:rowOff>
    </xdr:from>
    <xdr:to>
      <xdr:col>15</xdr:col>
      <xdr:colOff>285750</xdr:colOff>
      <xdr:row>19</xdr:row>
      <xdr:rowOff>142875</xdr:rowOff>
    </xdr:to>
    <xdr:sp>
      <xdr:nvSpPr>
        <xdr:cNvPr id="9" name="Line 71"/>
        <xdr:cNvSpPr>
          <a:spLocks/>
        </xdr:cNvSpPr>
      </xdr:nvSpPr>
      <xdr:spPr>
        <a:xfrm>
          <a:off x="4714875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152400</xdr:colOff>
      <xdr:row>8</xdr:row>
      <xdr:rowOff>114300</xdr:rowOff>
    </xdr:from>
    <xdr:to>
      <xdr:col>13</xdr:col>
      <xdr:colOff>152400</xdr:colOff>
      <xdr:row>9</xdr:row>
      <xdr:rowOff>114300</xdr:rowOff>
    </xdr:to>
    <xdr:grpSp>
      <xdr:nvGrpSpPr>
        <xdr:cNvPr id="10" name="Group 519"/>
        <xdr:cNvGrpSpPr>
          <a:grpSpLocks/>
        </xdr:cNvGrpSpPr>
      </xdr:nvGrpSpPr>
      <xdr:grpSpPr>
        <a:xfrm>
          <a:off x="3695700" y="1943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11" name="Line 90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91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152400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" name="Line 131"/>
        <xdr:cNvSpPr>
          <a:spLocks/>
        </xdr:cNvSpPr>
      </xdr:nvSpPr>
      <xdr:spPr>
        <a:xfrm>
          <a:off x="6353175" y="2057400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114300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14" name="Line 132"/>
        <xdr:cNvSpPr>
          <a:spLocks/>
        </xdr:cNvSpPr>
      </xdr:nvSpPr>
      <xdr:spPr>
        <a:xfrm>
          <a:off x="6315075" y="3200400"/>
          <a:ext cx="771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19050</xdr:rowOff>
    </xdr:to>
    <xdr:sp>
      <xdr:nvSpPr>
        <xdr:cNvPr id="15" name="Line 135"/>
        <xdr:cNvSpPr>
          <a:spLocks/>
        </xdr:cNvSpPr>
      </xdr:nvSpPr>
      <xdr:spPr>
        <a:xfrm>
          <a:off x="3838575" y="1371600"/>
          <a:ext cx="0" cy="4762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8</xdr:row>
      <xdr:rowOff>0</xdr:rowOff>
    </xdr:to>
    <xdr:sp>
      <xdr:nvSpPr>
        <xdr:cNvPr id="16" name="Line 136"/>
        <xdr:cNvSpPr>
          <a:spLocks/>
        </xdr:cNvSpPr>
      </xdr:nvSpPr>
      <xdr:spPr>
        <a:xfrm>
          <a:off x="5610225" y="13716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28575</xdr:rowOff>
    </xdr:from>
    <xdr:to>
      <xdr:col>20</xdr:col>
      <xdr:colOff>66675</xdr:colOff>
      <xdr:row>21</xdr:row>
      <xdr:rowOff>0</xdr:rowOff>
    </xdr:to>
    <xdr:sp>
      <xdr:nvSpPr>
        <xdr:cNvPr id="17" name="Line 159"/>
        <xdr:cNvSpPr>
          <a:spLocks/>
        </xdr:cNvSpPr>
      </xdr:nvSpPr>
      <xdr:spPr>
        <a:xfrm flipH="1" flipV="1">
          <a:off x="5610225" y="4371975"/>
          <a:ext cx="361950" cy="428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66675</xdr:colOff>
      <xdr:row>21</xdr:row>
      <xdr:rowOff>0</xdr:rowOff>
    </xdr:from>
    <xdr:to>
      <xdr:col>26</xdr:col>
      <xdr:colOff>0</xdr:colOff>
      <xdr:row>21</xdr:row>
      <xdr:rowOff>0</xdr:rowOff>
    </xdr:to>
    <xdr:sp>
      <xdr:nvSpPr>
        <xdr:cNvPr id="18" name="Line 160"/>
        <xdr:cNvSpPr>
          <a:spLocks/>
        </xdr:cNvSpPr>
      </xdr:nvSpPr>
      <xdr:spPr>
        <a:xfrm>
          <a:off x="5972175" y="4800600"/>
          <a:ext cx="17049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66675</xdr:rowOff>
    </xdr:from>
    <xdr:to>
      <xdr:col>11</xdr:col>
      <xdr:colOff>104775</xdr:colOff>
      <xdr:row>14</xdr:row>
      <xdr:rowOff>0</xdr:rowOff>
    </xdr:to>
    <xdr:sp>
      <xdr:nvSpPr>
        <xdr:cNvPr id="19" name="Line 162"/>
        <xdr:cNvSpPr>
          <a:spLocks/>
        </xdr:cNvSpPr>
      </xdr:nvSpPr>
      <xdr:spPr>
        <a:xfrm>
          <a:off x="2952750" y="2581275"/>
          <a:ext cx="400050" cy="6191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66675</xdr:rowOff>
    </xdr:from>
    <xdr:to>
      <xdr:col>10</xdr:col>
      <xdr:colOff>0</xdr:colOff>
      <xdr:row>11</xdr:row>
      <xdr:rowOff>66675</xdr:rowOff>
    </xdr:to>
    <xdr:sp>
      <xdr:nvSpPr>
        <xdr:cNvPr id="20" name="Line 163"/>
        <xdr:cNvSpPr>
          <a:spLocks/>
        </xdr:cNvSpPr>
      </xdr:nvSpPr>
      <xdr:spPr>
        <a:xfrm>
          <a:off x="2362200" y="2581275"/>
          <a:ext cx="590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1" name="Line 243"/>
        <xdr:cNvSpPr>
          <a:spLocks/>
        </xdr:cNvSpPr>
      </xdr:nvSpPr>
      <xdr:spPr>
        <a:xfrm>
          <a:off x="3838575" y="13716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47625</xdr:rowOff>
    </xdr:from>
    <xdr:to>
      <xdr:col>20</xdr:col>
      <xdr:colOff>0</xdr:colOff>
      <xdr:row>15</xdr:row>
      <xdr:rowOff>85725</xdr:rowOff>
    </xdr:to>
    <xdr:grpSp>
      <xdr:nvGrpSpPr>
        <xdr:cNvPr id="22" name="Group 392"/>
        <xdr:cNvGrpSpPr>
          <a:grpSpLocks/>
        </xdr:cNvGrpSpPr>
      </xdr:nvGrpSpPr>
      <xdr:grpSpPr>
        <a:xfrm>
          <a:off x="3543300" y="324802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23" name="Line 393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394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395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15</xdr:row>
      <xdr:rowOff>209550</xdr:rowOff>
    </xdr:from>
    <xdr:to>
      <xdr:col>20</xdr:col>
      <xdr:colOff>0</xdr:colOff>
      <xdr:row>17</xdr:row>
      <xdr:rowOff>19050</xdr:rowOff>
    </xdr:to>
    <xdr:grpSp>
      <xdr:nvGrpSpPr>
        <xdr:cNvPr id="26" name="Group 396"/>
        <xdr:cNvGrpSpPr>
          <a:grpSpLocks/>
        </xdr:cNvGrpSpPr>
      </xdr:nvGrpSpPr>
      <xdr:grpSpPr>
        <a:xfrm>
          <a:off x="3543300" y="3638550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27" name="Line 397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398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399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17</xdr:row>
      <xdr:rowOff>142875</xdr:rowOff>
    </xdr:from>
    <xdr:to>
      <xdr:col>20</xdr:col>
      <xdr:colOff>0</xdr:colOff>
      <xdr:row>18</xdr:row>
      <xdr:rowOff>180975</xdr:rowOff>
    </xdr:to>
    <xdr:grpSp>
      <xdr:nvGrpSpPr>
        <xdr:cNvPr id="30" name="Group 400"/>
        <xdr:cNvGrpSpPr>
          <a:grpSpLocks/>
        </xdr:cNvGrpSpPr>
      </xdr:nvGrpSpPr>
      <xdr:grpSpPr>
        <a:xfrm>
          <a:off x="3543300" y="402907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31" name="Line 401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402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403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0</xdr:colOff>
      <xdr:row>14</xdr:row>
      <xdr:rowOff>0</xdr:rowOff>
    </xdr:to>
    <xdr:sp>
      <xdr:nvSpPr>
        <xdr:cNvPr id="34" name="Line 406"/>
        <xdr:cNvSpPr>
          <a:spLocks/>
        </xdr:cNvSpPr>
      </xdr:nvSpPr>
      <xdr:spPr>
        <a:xfrm>
          <a:off x="7086600" y="27432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11</xdr:row>
      <xdr:rowOff>0</xdr:rowOff>
    </xdr:to>
    <xdr:sp>
      <xdr:nvSpPr>
        <xdr:cNvPr id="35" name="Line 407"/>
        <xdr:cNvSpPr>
          <a:spLocks/>
        </xdr:cNvSpPr>
      </xdr:nvSpPr>
      <xdr:spPr>
        <a:xfrm>
          <a:off x="7086600" y="20574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114300</xdr:colOff>
      <xdr:row>8</xdr:row>
      <xdr:rowOff>200025</xdr:rowOff>
    </xdr:from>
    <xdr:to>
      <xdr:col>20</xdr:col>
      <xdr:colOff>142875</xdr:colOff>
      <xdr:row>9</xdr:row>
      <xdr:rowOff>28575</xdr:rowOff>
    </xdr:to>
    <xdr:grpSp>
      <xdr:nvGrpSpPr>
        <xdr:cNvPr id="36" name="Group 490"/>
        <xdr:cNvGrpSpPr>
          <a:grpSpLocks/>
        </xdr:cNvGrpSpPr>
      </xdr:nvGrpSpPr>
      <xdr:grpSpPr>
        <a:xfrm>
          <a:off x="3362325" y="2028825"/>
          <a:ext cx="2686050" cy="57150"/>
          <a:chOff x="66" y="-5410499"/>
          <a:chExt cx="20210" cy="1338"/>
        </a:xfrm>
        <a:solidFill>
          <a:srgbClr val="FFFFFF"/>
        </a:solidFill>
      </xdr:grpSpPr>
      <xdr:sp>
        <xdr:nvSpPr>
          <xdr:cNvPr id="37" name="Line 491"/>
          <xdr:cNvSpPr>
            <a:spLocks/>
          </xdr:cNvSpPr>
        </xdr:nvSpPr>
        <xdr:spPr>
          <a:xfrm>
            <a:off x="66" y="-5410499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492"/>
          <xdr:cNvSpPr>
            <a:spLocks/>
          </xdr:cNvSpPr>
        </xdr:nvSpPr>
        <xdr:spPr>
          <a:xfrm>
            <a:off x="66" y="-5409161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8</xdr:row>
      <xdr:rowOff>104775</xdr:rowOff>
    </xdr:from>
    <xdr:to>
      <xdr:col>13</xdr:col>
      <xdr:colOff>19050</xdr:colOff>
      <xdr:row>19</xdr:row>
      <xdr:rowOff>142875</xdr:rowOff>
    </xdr:to>
    <xdr:sp>
      <xdr:nvSpPr>
        <xdr:cNvPr id="39" name="Line 493"/>
        <xdr:cNvSpPr>
          <a:spLocks/>
        </xdr:cNvSpPr>
      </xdr:nvSpPr>
      <xdr:spPr>
        <a:xfrm>
          <a:off x="3857625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8</xdr:row>
      <xdr:rowOff>104775</xdr:rowOff>
    </xdr:from>
    <xdr:to>
      <xdr:col>12</xdr:col>
      <xdr:colOff>285750</xdr:colOff>
      <xdr:row>19</xdr:row>
      <xdr:rowOff>142875</xdr:rowOff>
    </xdr:to>
    <xdr:sp>
      <xdr:nvSpPr>
        <xdr:cNvPr id="40" name="Line 494"/>
        <xdr:cNvSpPr>
          <a:spLocks/>
        </xdr:cNvSpPr>
      </xdr:nvSpPr>
      <xdr:spPr>
        <a:xfrm>
          <a:off x="3829050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104775</xdr:rowOff>
    </xdr:from>
    <xdr:to>
      <xdr:col>19</xdr:col>
      <xdr:colOff>19050</xdr:colOff>
      <xdr:row>19</xdr:row>
      <xdr:rowOff>142875</xdr:rowOff>
    </xdr:to>
    <xdr:sp>
      <xdr:nvSpPr>
        <xdr:cNvPr id="41" name="Line 495"/>
        <xdr:cNvSpPr>
          <a:spLocks/>
        </xdr:cNvSpPr>
      </xdr:nvSpPr>
      <xdr:spPr>
        <a:xfrm>
          <a:off x="5629275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285750</xdr:colOff>
      <xdr:row>8</xdr:row>
      <xdr:rowOff>104775</xdr:rowOff>
    </xdr:from>
    <xdr:to>
      <xdr:col>18</xdr:col>
      <xdr:colOff>285750</xdr:colOff>
      <xdr:row>19</xdr:row>
      <xdr:rowOff>142875</xdr:rowOff>
    </xdr:to>
    <xdr:sp>
      <xdr:nvSpPr>
        <xdr:cNvPr id="42" name="Line 496"/>
        <xdr:cNvSpPr>
          <a:spLocks/>
        </xdr:cNvSpPr>
      </xdr:nvSpPr>
      <xdr:spPr>
        <a:xfrm>
          <a:off x="5600700" y="1933575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47625</xdr:rowOff>
    </xdr:from>
    <xdr:to>
      <xdr:col>20</xdr:col>
      <xdr:colOff>0</xdr:colOff>
      <xdr:row>10</xdr:row>
      <xdr:rowOff>85725</xdr:rowOff>
    </xdr:to>
    <xdr:grpSp>
      <xdr:nvGrpSpPr>
        <xdr:cNvPr id="43" name="Group 497"/>
        <xdr:cNvGrpSpPr>
          <a:grpSpLocks/>
        </xdr:cNvGrpSpPr>
      </xdr:nvGrpSpPr>
      <xdr:grpSpPr>
        <a:xfrm>
          <a:off x="3543300" y="210502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44" name="Line 498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499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500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10</xdr:row>
      <xdr:rowOff>209550</xdr:rowOff>
    </xdr:from>
    <xdr:to>
      <xdr:col>20</xdr:col>
      <xdr:colOff>0</xdr:colOff>
      <xdr:row>12</xdr:row>
      <xdr:rowOff>19050</xdr:rowOff>
    </xdr:to>
    <xdr:grpSp>
      <xdr:nvGrpSpPr>
        <xdr:cNvPr id="47" name="Group 501"/>
        <xdr:cNvGrpSpPr>
          <a:grpSpLocks/>
        </xdr:cNvGrpSpPr>
      </xdr:nvGrpSpPr>
      <xdr:grpSpPr>
        <a:xfrm>
          <a:off x="3543300" y="2495550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48" name="Line 502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503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504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12</xdr:row>
      <xdr:rowOff>142875</xdr:rowOff>
    </xdr:from>
    <xdr:to>
      <xdr:col>20</xdr:col>
      <xdr:colOff>0</xdr:colOff>
      <xdr:row>13</xdr:row>
      <xdr:rowOff>180975</xdr:rowOff>
    </xdr:to>
    <xdr:grpSp>
      <xdr:nvGrpSpPr>
        <xdr:cNvPr id="51" name="Group 505"/>
        <xdr:cNvGrpSpPr>
          <a:grpSpLocks/>
        </xdr:cNvGrpSpPr>
      </xdr:nvGrpSpPr>
      <xdr:grpSpPr>
        <a:xfrm>
          <a:off x="3543300" y="2886075"/>
          <a:ext cx="23622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52" name="Line 506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507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508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12</xdr:row>
      <xdr:rowOff>180975</xdr:rowOff>
    </xdr:from>
    <xdr:to>
      <xdr:col>17</xdr:col>
      <xdr:colOff>276225</xdr:colOff>
      <xdr:row>14</xdr:row>
      <xdr:rowOff>0</xdr:rowOff>
    </xdr:to>
    <xdr:sp>
      <xdr:nvSpPr>
        <xdr:cNvPr id="55" name="Line 509"/>
        <xdr:cNvSpPr>
          <a:spLocks/>
        </xdr:cNvSpPr>
      </xdr:nvSpPr>
      <xdr:spPr>
        <a:xfrm flipH="1">
          <a:off x="4743450" y="2924175"/>
          <a:ext cx="552450" cy="2762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8</xdr:row>
      <xdr:rowOff>0</xdr:rowOff>
    </xdr:to>
    <xdr:sp>
      <xdr:nvSpPr>
        <xdr:cNvPr id="56" name="Line 510"/>
        <xdr:cNvSpPr>
          <a:spLocks/>
        </xdr:cNvSpPr>
      </xdr:nvSpPr>
      <xdr:spPr>
        <a:xfrm>
          <a:off x="4724400" y="13716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7" name="Line 511"/>
        <xdr:cNvSpPr>
          <a:spLocks/>
        </xdr:cNvSpPr>
      </xdr:nvSpPr>
      <xdr:spPr>
        <a:xfrm>
          <a:off x="4724400" y="13716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38100</xdr:colOff>
      <xdr:row>7</xdr:row>
      <xdr:rowOff>0</xdr:rowOff>
    </xdr:from>
    <xdr:to>
      <xdr:col>21</xdr:col>
      <xdr:colOff>0</xdr:colOff>
      <xdr:row>8</xdr:row>
      <xdr:rowOff>104775</xdr:rowOff>
    </xdr:to>
    <xdr:sp>
      <xdr:nvSpPr>
        <xdr:cNvPr id="58" name="Line 512"/>
        <xdr:cNvSpPr>
          <a:spLocks/>
        </xdr:cNvSpPr>
      </xdr:nvSpPr>
      <xdr:spPr>
        <a:xfrm flipH="1">
          <a:off x="5648325" y="1600200"/>
          <a:ext cx="552450" cy="3333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152400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59" name="Line 514"/>
        <xdr:cNvSpPr>
          <a:spLocks/>
        </xdr:cNvSpPr>
      </xdr:nvSpPr>
      <xdr:spPr>
        <a:xfrm>
          <a:off x="6353175" y="3200400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114300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60" name="Line 515"/>
        <xdr:cNvSpPr>
          <a:spLocks/>
        </xdr:cNvSpPr>
      </xdr:nvSpPr>
      <xdr:spPr>
        <a:xfrm>
          <a:off x="6315075" y="4343400"/>
          <a:ext cx="771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19</xdr:row>
      <xdr:rowOff>0</xdr:rowOff>
    </xdr:to>
    <xdr:sp>
      <xdr:nvSpPr>
        <xdr:cNvPr id="61" name="Line 516"/>
        <xdr:cNvSpPr>
          <a:spLocks/>
        </xdr:cNvSpPr>
      </xdr:nvSpPr>
      <xdr:spPr>
        <a:xfrm>
          <a:off x="7086600" y="38862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0</xdr:colOff>
      <xdr:row>16</xdr:row>
      <xdr:rowOff>0</xdr:rowOff>
    </xdr:to>
    <xdr:sp>
      <xdr:nvSpPr>
        <xdr:cNvPr id="62" name="Line 517"/>
        <xdr:cNvSpPr>
          <a:spLocks/>
        </xdr:cNvSpPr>
      </xdr:nvSpPr>
      <xdr:spPr>
        <a:xfrm>
          <a:off x="7086600" y="32004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24</xdr:col>
      <xdr:colOff>0</xdr:colOff>
      <xdr:row>7</xdr:row>
      <xdr:rowOff>0</xdr:rowOff>
    </xdr:to>
    <xdr:sp>
      <xdr:nvSpPr>
        <xdr:cNvPr id="63" name="Line 518"/>
        <xdr:cNvSpPr>
          <a:spLocks/>
        </xdr:cNvSpPr>
      </xdr:nvSpPr>
      <xdr:spPr>
        <a:xfrm flipH="1">
          <a:off x="6200775" y="1600200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152400</xdr:colOff>
      <xdr:row>13</xdr:row>
      <xdr:rowOff>114300</xdr:rowOff>
    </xdr:from>
    <xdr:to>
      <xdr:col>13</xdr:col>
      <xdr:colOff>152400</xdr:colOff>
      <xdr:row>14</xdr:row>
      <xdr:rowOff>114300</xdr:rowOff>
    </xdr:to>
    <xdr:grpSp>
      <xdr:nvGrpSpPr>
        <xdr:cNvPr id="64" name="Group 520"/>
        <xdr:cNvGrpSpPr>
          <a:grpSpLocks/>
        </xdr:cNvGrpSpPr>
      </xdr:nvGrpSpPr>
      <xdr:grpSpPr>
        <a:xfrm>
          <a:off x="3695700" y="3086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65" name="Line 521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522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152400</xdr:colOff>
      <xdr:row>18</xdr:row>
      <xdr:rowOff>114300</xdr:rowOff>
    </xdr:from>
    <xdr:to>
      <xdr:col>13</xdr:col>
      <xdr:colOff>152400</xdr:colOff>
      <xdr:row>19</xdr:row>
      <xdr:rowOff>114300</xdr:rowOff>
    </xdr:to>
    <xdr:grpSp>
      <xdr:nvGrpSpPr>
        <xdr:cNvPr id="67" name="Group 523"/>
        <xdr:cNvGrpSpPr>
          <a:grpSpLocks/>
        </xdr:cNvGrpSpPr>
      </xdr:nvGrpSpPr>
      <xdr:grpSpPr>
        <a:xfrm>
          <a:off x="3695700" y="4229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68" name="Line 524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525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18</xdr:row>
      <xdr:rowOff>114300</xdr:rowOff>
    </xdr:from>
    <xdr:to>
      <xdr:col>19</xdr:col>
      <xdr:colOff>152400</xdr:colOff>
      <xdr:row>19</xdr:row>
      <xdr:rowOff>114300</xdr:rowOff>
    </xdr:to>
    <xdr:grpSp>
      <xdr:nvGrpSpPr>
        <xdr:cNvPr id="70" name="Group 526"/>
        <xdr:cNvGrpSpPr>
          <a:grpSpLocks/>
        </xdr:cNvGrpSpPr>
      </xdr:nvGrpSpPr>
      <xdr:grpSpPr>
        <a:xfrm>
          <a:off x="5467350" y="4229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71" name="Line 527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528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13</xdr:row>
      <xdr:rowOff>114300</xdr:rowOff>
    </xdr:from>
    <xdr:to>
      <xdr:col>19</xdr:col>
      <xdr:colOff>152400</xdr:colOff>
      <xdr:row>14</xdr:row>
      <xdr:rowOff>114300</xdr:rowOff>
    </xdr:to>
    <xdr:grpSp>
      <xdr:nvGrpSpPr>
        <xdr:cNvPr id="73" name="Group 530"/>
        <xdr:cNvGrpSpPr>
          <a:grpSpLocks/>
        </xdr:cNvGrpSpPr>
      </xdr:nvGrpSpPr>
      <xdr:grpSpPr>
        <a:xfrm>
          <a:off x="5467350" y="3086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74" name="Line 531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532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8</xdr:row>
      <xdr:rowOff>114300</xdr:rowOff>
    </xdr:from>
    <xdr:to>
      <xdr:col>19</xdr:col>
      <xdr:colOff>152400</xdr:colOff>
      <xdr:row>9</xdr:row>
      <xdr:rowOff>114300</xdr:rowOff>
    </xdr:to>
    <xdr:grpSp>
      <xdr:nvGrpSpPr>
        <xdr:cNvPr id="76" name="Group 533"/>
        <xdr:cNvGrpSpPr>
          <a:grpSpLocks/>
        </xdr:cNvGrpSpPr>
      </xdr:nvGrpSpPr>
      <xdr:grpSpPr>
        <a:xfrm>
          <a:off x="5467350" y="1943100"/>
          <a:ext cx="295275" cy="228600"/>
          <a:chOff x="325" y="192"/>
          <a:chExt cx="25" cy="24"/>
        </a:xfrm>
        <a:solidFill>
          <a:srgbClr val="FFFFFF"/>
        </a:solidFill>
      </xdr:grpSpPr>
      <xdr:sp>
        <xdr:nvSpPr>
          <xdr:cNvPr id="77" name="Line 534"/>
          <xdr:cNvSpPr>
            <a:spLocks/>
          </xdr:cNvSpPr>
        </xdr:nvSpPr>
        <xdr:spPr>
          <a:xfrm flipH="1"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535"/>
          <xdr:cNvSpPr>
            <a:spLocks/>
          </xdr:cNvSpPr>
        </xdr:nvSpPr>
        <xdr:spPr>
          <a:xfrm>
            <a:off x="325" y="192"/>
            <a:ext cx="25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20</xdr:row>
      <xdr:rowOff>104775</xdr:rowOff>
    </xdr:from>
    <xdr:to>
      <xdr:col>19</xdr:col>
      <xdr:colOff>9525</xdr:colOff>
      <xdr:row>25</xdr:row>
      <xdr:rowOff>123825</xdr:rowOff>
    </xdr:to>
    <xdr:sp>
      <xdr:nvSpPr>
        <xdr:cNvPr id="1" name="Rectangle 368"/>
        <xdr:cNvSpPr>
          <a:spLocks/>
        </xdr:cNvSpPr>
      </xdr:nvSpPr>
      <xdr:spPr>
        <a:xfrm>
          <a:off x="3848100" y="4705350"/>
          <a:ext cx="1790700" cy="11620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18</xdr:col>
      <xdr:colOff>285750</xdr:colOff>
      <xdr:row>17</xdr:row>
      <xdr:rowOff>104775</xdr:rowOff>
    </xdr:from>
    <xdr:to>
      <xdr:col>18</xdr:col>
      <xdr:colOff>285750</xdr:colOff>
      <xdr:row>28</xdr:row>
      <xdr:rowOff>142875</xdr:rowOff>
    </xdr:to>
    <xdr:sp>
      <xdr:nvSpPr>
        <xdr:cNvPr id="2" name="Line 424"/>
        <xdr:cNvSpPr>
          <a:spLocks/>
        </xdr:cNvSpPr>
      </xdr:nvSpPr>
      <xdr:spPr>
        <a:xfrm>
          <a:off x="5619750" y="4019550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133350</xdr:colOff>
      <xdr:row>22</xdr:row>
      <xdr:rowOff>200025</xdr:rowOff>
    </xdr:from>
    <xdr:to>
      <xdr:col>23</xdr:col>
      <xdr:colOff>142875</xdr:colOff>
      <xdr:row>23</xdr:row>
      <xdr:rowOff>28575</xdr:rowOff>
    </xdr:to>
    <xdr:grpSp>
      <xdr:nvGrpSpPr>
        <xdr:cNvPr id="3" name="Group 369"/>
        <xdr:cNvGrpSpPr>
          <a:grpSpLocks/>
        </xdr:cNvGrpSpPr>
      </xdr:nvGrpSpPr>
      <xdr:grpSpPr>
        <a:xfrm>
          <a:off x="2495550" y="5257800"/>
          <a:ext cx="4457700" cy="57150"/>
          <a:chOff x="66" y="-5410499"/>
          <a:chExt cx="20210" cy="1338"/>
        </a:xfrm>
        <a:solidFill>
          <a:srgbClr val="FFFFFF"/>
        </a:solidFill>
      </xdr:grpSpPr>
      <xdr:sp>
        <xdr:nvSpPr>
          <xdr:cNvPr id="4" name="Line 370"/>
          <xdr:cNvSpPr>
            <a:spLocks/>
          </xdr:cNvSpPr>
        </xdr:nvSpPr>
        <xdr:spPr>
          <a:xfrm>
            <a:off x="66" y="-5410499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371"/>
          <xdr:cNvSpPr>
            <a:spLocks/>
          </xdr:cNvSpPr>
        </xdr:nvSpPr>
        <xdr:spPr>
          <a:xfrm>
            <a:off x="66" y="-5409161"/>
            <a:ext cx="20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17</xdr:row>
      <xdr:rowOff>104775</xdr:rowOff>
    </xdr:from>
    <xdr:to>
      <xdr:col>16</xdr:col>
      <xdr:colOff>19050</xdr:colOff>
      <xdr:row>28</xdr:row>
      <xdr:rowOff>142875</xdr:rowOff>
    </xdr:to>
    <xdr:sp>
      <xdr:nvSpPr>
        <xdr:cNvPr id="6" name="Line 375"/>
        <xdr:cNvSpPr>
          <a:spLocks/>
        </xdr:cNvSpPr>
      </xdr:nvSpPr>
      <xdr:spPr>
        <a:xfrm>
          <a:off x="4743450" y="4019550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285750</xdr:colOff>
      <xdr:row>17</xdr:row>
      <xdr:rowOff>104775</xdr:rowOff>
    </xdr:from>
    <xdr:to>
      <xdr:col>15</xdr:col>
      <xdr:colOff>285750</xdr:colOff>
      <xdr:row>28</xdr:row>
      <xdr:rowOff>142875</xdr:rowOff>
    </xdr:to>
    <xdr:sp>
      <xdr:nvSpPr>
        <xdr:cNvPr id="7" name="Line 376"/>
        <xdr:cNvSpPr>
          <a:spLocks/>
        </xdr:cNvSpPr>
      </xdr:nvSpPr>
      <xdr:spPr>
        <a:xfrm>
          <a:off x="4714875" y="4019550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209550</xdr:colOff>
      <xdr:row>20</xdr:row>
      <xdr:rowOff>123825</xdr:rowOff>
    </xdr:from>
    <xdr:to>
      <xdr:col>25</xdr:col>
      <xdr:colOff>57150</xdr:colOff>
      <xdr:row>20</xdr:row>
      <xdr:rowOff>123825</xdr:rowOff>
    </xdr:to>
    <xdr:sp>
      <xdr:nvSpPr>
        <xdr:cNvPr id="8" name="Line 380"/>
        <xdr:cNvSpPr>
          <a:spLocks/>
        </xdr:cNvSpPr>
      </xdr:nvSpPr>
      <xdr:spPr>
        <a:xfrm>
          <a:off x="6724650" y="4724400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17</xdr:row>
      <xdr:rowOff>19050</xdr:rowOff>
    </xdr:to>
    <xdr:sp>
      <xdr:nvSpPr>
        <xdr:cNvPr id="9" name="Line 382"/>
        <xdr:cNvSpPr>
          <a:spLocks/>
        </xdr:cNvSpPr>
      </xdr:nvSpPr>
      <xdr:spPr>
        <a:xfrm>
          <a:off x="3838575" y="3686175"/>
          <a:ext cx="0" cy="2476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17</xdr:row>
      <xdr:rowOff>0</xdr:rowOff>
    </xdr:to>
    <xdr:sp>
      <xdr:nvSpPr>
        <xdr:cNvPr id="10" name="Line 383"/>
        <xdr:cNvSpPr>
          <a:spLocks/>
        </xdr:cNvSpPr>
      </xdr:nvSpPr>
      <xdr:spPr>
        <a:xfrm>
          <a:off x="5629275" y="3686175"/>
          <a:ext cx="0" cy="228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19050</xdr:colOff>
      <xdr:row>23</xdr:row>
      <xdr:rowOff>28575</xdr:rowOff>
    </xdr:from>
    <xdr:to>
      <xdr:col>24</xdr:col>
      <xdr:colOff>57150</xdr:colOff>
      <xdr:row>28</xdr:row>
      <xdr:rowOff>0</xdr:rowOff>
    </xdr:to>
    <xdr:sp>
      <xdr:nvSpPr>
        <xdr:cNvPr id="11" name="Line 384"/>
        <xdr:cNvSpPr>
          <a:spLocks/>
        </xdr:cNvSpPr>
      </xdr:nvSpPr>
      <xdr:spPr>
        <a:xfrm flipH="1" flipV="1">
          <a:off x="6534150" y="5314950"/>
          <a:ext cx="628650" cy="11144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28</xdr:row>
      <xdr:rowOff>0</xdr:rowOff>
    </xdr:from>
    <xdr:to>
      <xdr:col>29</xdr:col>
      <xdr:colOff>285750</xdr:colOff>
      <xdr:row>28</xdr:row>
      <xdr:rowOff>0</xdr:rowOff>
    </xdr:to>
    <xdr:sp>
      <xdr:nvSpPr>
        <xdr:cNvPr id="12" name="Line 385"/>
        <xdr:cNvSpPr>
          <a:spLocks/>
        </xdr:cNvSpPr>
      </xdr:nvSpPr>
      <xdr:spPr>
        <a:xfrm>
          <a:off x="7162800" y="6429375"/>
          <a:ext cx="17049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13" name="Line 388"/>
        <xdr:cNvSpPr>
          <a:spLocks/>
        </xdr:cNvSpPr>
      </xdr:nvSpPr>
      <xdr:spPr>
        <a:xfrm>
          <a:off x="3838575" y="3686175"/>
          <a:ext cx="1790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95250</xdr:colOff>
      <xdr:row>23</xdr:row>
      <xdr:rowOff>47625</xdr:rowOff>
    </xdr:from>
    <xdr:to>
      <xdr:col>22</xdr:col>
      <xdr:colOff>228600</xdr:colOff>
      <xdr:row>24</xdr:row>
      <xdr:rowOff>85725</xdr:rowOff>
    </xdr:to>
    <xdr:grpSp>
      <xdr:nvGrpSpPr>
        <xdr:cNvPr id="14" name="Group 404"/>
        <xdr:cNvGrpSpPr>
          <a:grpSpLocks/>
        </xdr:cNvGrpSpPr>
      </xdr:nvGrpSpPr>
      <xdr:grpSpPr>
        <a:xfrm>
          <a:off x="2752725" y="5334000"/>
          <a:ext cx="3990975" cy="266700"/>
          <a:chOff x="-12" y="-242019"/>
          <a:chExt cx="19008" cy="252"/>
        </a:xfrm>
        <a:solidFill>
          <a:srgbClr val="FFFFFF"/>
        </a:solidFill>
      </xdr:grpSpPr>
      <xdr:sp>
        <xdr:nvSpPr>
          <xdr:cNvPr id="15" name="Line 405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406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407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24</xdr:row>
      <xdr:rowOff>209550</xdr:rowOff>
    </xdr:from>
    <xdr:to>
      <xdr:col>22</xdr:col>
      <xdr:colOff>247650</xdr:colOff>
      <xdr:row>26</xdr:row>
      <xdr:rowOff>19050</xdr:rowOff>
    </xdr:to>
    <xdr:grpSp>
      <xdr:nvGrpSpPr>
        <xdr:cNvPr id="18" name="Group 408"/>
        <xdr:cNvGrpSpPr>
          <a:grpSpLocks/>
        </xdr:cNvGrpSpPr>
      </xdr:nvGrpSpPr>
      <xdr:grpSpPr>
        <a:xfrm>
          <a:off x="2762250" y="5724525"/>
          <a:ext cx="40005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19" name="Line 409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410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411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26</xdr:row>
      <xdr:rowOff>142875</xdr:rowOff>
    </xdr:from>
    <xdr:to>
      <xdr:col>22</xdr:col>
      <xdr:colOff>238125</xdr:colOff>
      <xdr:row>27</xdr:row>
      <xdr:rowOff>180975</xdr:rowOff>
    </xdr:to>
    <xdr:grpSp>
      <xdr:nvGrpSpPr>
        <xdr:cNvPr id="22" name="Group 412"/>
        <xdr:cNvGrpSpPr>
          <a:grpSpLocks/>
        </xdr:cNvGrpSpPr>
      </xdr:nvGrpSpPr>
      <xdr:grpSpPr>
        <a:xfrm>
          <a:off x="2771775" y="6115050"/>
          <a:ext cx="398145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23" name="Line 413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414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415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25</xdr:col>
      <xdr:colOff>57150</xdr:colOff>
      <xdr:row>23</xdr:row>
      <xdr:rowOff>123825</xdr:rowOff>
    </xdr:from>
    <xdr:to>
      <xdr:col>25</xdr:col>
      <xdr:colOff>57150</xdr:colOff>
      <xdr:row>25</xdr:row>
      <xdr:rowOff>123825</xdr:rowOff>
    </xdr:to>
    <xdr:sp>
      <xdr:nvSpPr>
        <xdr:cNvPr id="26" name="Line 416"/>
        <xdr:cNvSpPr>
          <a:spLocks/>
        </xdr:cNvSpPr>
      </xdr:nvSpPr>
      <xdr:spPr>
        <a:xfrm>
          <a:off x="7458075" y="54102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57150</xdr:colOff>
      <xdr:row>20</xdr:row>
      <xdr:rowOff>123825</xdr:rowOff>
    </xdr:from>
    <xdr:to>
      <xdr:col>25</xdr:col>
      <xdr:colOff>57150</xdr:colOff>
      <xdr:row>22</xdr:row>
      <xdr:rowOff>123825</xdr:rowOff>
    </xdr:to>
    <xdr:sp>
      <xdr:nvSpPr>
        <xdr:cNvPr id="27" name="Line 417"/>
        <xdr:cNvSpPr>
          <a:spLocks/>
        </xdr:cNvSpPr>
      </xdr:nvSpPr>
      <xdr:spPr>
        <a:xfrm>
          <a:off x="7458075" y="47244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104775</xdr:rowOff>
    </xdr:from>
    <xdr:to>
      <xdr:col>13</xdr:col>
      <xdr:colOff>19050</xdr:colOff>
      <xdr:row>28</xdr:row>
      <xdr:rowOff>142875</xdr:rowOff>
    </xdr:to>
    <xdr:sp>
      <xdr:nvSpPr>
        <xdr:cNvPr id="28" name="Line 421"/>
        <xdr:cNvSpPr>
          <a:spLocks/>
        </xdr:cNvSpPr>
      </xdr:nvSpPr>
      <xdr:spPr>
        <a:xfrm>
          <a:off x="3857625" y="4019550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17</xdr:row>
      <xdr:rowOff>104775</xdr:rowOff>
    </xdr:from>
    <xdr:to>
      <xdr:col>12</xdr:col>
      <xdr:colOff>285750</xdr:colOff>
      <xdr:row>28</xdr:row>
      <xdr:rowOff>142875</xdr:rowOff>
    </xdr:to>
    <xdr:sp>
      <xdr:nvSpPr>
        <xdr:cNvPr id="29" name="Line 422"/>
        <xdr:cNvSpPr>
          <a:spLocks/>
        </xdr:cNvSpPr>
      </xdr:nvSpPr>
      <xdr:spPr>
        <a:xfrm>
          <a:off x="3829050" y="4019550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104775</xdr:rowOff>
    </xdr:from>
    <xdr:to>
      <xdr:col>19</xdr:col>
      <xdr:colOff>19050</xdr:colOff>
      <xdr:row>28</xdr:row>
      <xdr:rowOff>142875</xdr:rowOff>
    </xdr:to>
    <xdr:sp>
      <xdr:nvSpPr>
        <xdr:cNvPr id="30" name="Line 423"/>
        <xdr:cNvSpPr>
          <a:spLocks/>
        </xdr:cNvSpPr>
      </xdr:nvSpPr>
      <xdr:spPr>
        <a:xfrm>
          <a:off x="5648325" y="4019550"/>
          <a:ext cx="0" cy="2552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104775</xdr:colOff>
      <xdr:row>18</xdr:row>
      <xdr:rowOff>47625</xdr:rowOff>
    </xdr:from>
    <xdr:to>
      <xdr:col>22</xdr:col>
      <xdr:colOff>200025</xdr:colOff>
      <xdr:row>19</xdr:row>
      <xdr:rowOff>85725</xdr:rowOff>
    </xdr:to>
    <xdr:grpSp>
      <xdr:nvGrpSpPr>
        <xdr:cNvPr id="31" name="Group 425"/>
        <xdr:cNvGrpSpPr>
          <a:grpSpLocks/>
        </xdr:cNvGrpSpPr>
      </xdr:nvGrpSpPr>
      <xdr:grpSpPr>
        <a:xfrm>
          <a:off x="2762250" y="4191000"/>
          <a:ext cx="3952875" cy="266700"/>
          <a:chOff x="-12" y="-242019"/>
          <a:chExt cx="19008" cy="252"/>
        </a:xfrm>
        <a:solidFill>
          <a:srgbClr val="FFFFFF"/>
        </a:solidFill>
      </xdr:grpSpPr>
      <xdr:sp>
        <xdr:nvSpPr>
          <xdr:cNvPr id="32" name="Line 426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427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428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19</xdr:row>
      <xdr:rowOff>209550</xdr:rowOff>
    </xdr:from>
    <xdr:to>
      <xdr:col>22</xdr:col>
      <xdr:colOff>228600</xdr:colOff>
      <xdr:row>21</xdr:row>
      <xdr:rowOff>19050</xdr:rowOff>
    </xdr:to>
    <xdr:grpSp>
      <xdr:nvGrpSpPr>
        <xdr:cNvPr id="35" name="Group 429"/>
        <xdr:cNvGrpSpPr>
          <a:grpSpLocks/>
        </xdr:cNvGrpSpPr>
      </xdr:nvGrpSpPr>
      <xdr:grpSpPr>
        <a:xfrm>
          <a:off x="2762250" y="4581525"/>
          <a:ext cx="398145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36" name="Line 430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431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432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21</xdr:row>
      <xdr:rowOff>142875</xdr:rowOff>
    </xdr:from>
    <xdr:to>
      <xdr:col>22</xdr:col>
      <xdr:colOff>209550</xdr:colOff>
      <xdr:row>22</xdr:row>
      <xdr:rowOff>180975</xdr:rowOff>
    </xdr:to>
    <xdr:grpSp>
      <xdr:nvGrpSpPr>
        <xdr:cNvPr id="39" name="Group 433"/>
        <xdr:cNvGrpSpPr>
          <a:grpSpLocks/>
        </xdr:cNvGrpSpPr>
      </xdr:nvGrpSpPr>
      <xdr:grpSpPr>
        <a:xfrm>
          <a:off x="2762250" y="4972050"/>
          <a:ext cx="3962400" cy="266700"/>
          <a:chOff x="-12" y="-242019"/>
          <a:chExt cx="19008" cy="252"/>
        </a:xfrm>
        <a:solidFill>
          <a:srgbClr val="FFFFFF"/>
        </a:solidFill>
      </xdr:grpSpPr>
      <xdr:sp>
        <xdr:nvSpPr>
          <xdr:cNvPr id="40" name="Line 434"/>
          <xdr:cNvSpPr>
            <a:spLocks/>
          </xdr:cNvSpPr>
        </xdr:nvSpPr>
        <xdr:spPr>
          <a:xfrm>
            <a:off x="31" y="-241884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35"/>
          <xdr:cNvSpPr>
            <a:spLocks/>
          </xdr:cNvSpPr>
        </xdr:nvSpPr>
        <xdr:spPr>
          <a:xfrm>
            <a:off x="-12" y="-242019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436"/>
          <xdr:cNvSpPr>
            <a:spLocks/>
          </xdr:cNvSpPr>
        </xdr:nvSpPr>
        <xdr:spPr>
          <a:xfrm>
            <a:off x="31" y="-241767"/>
            <a:ext cx="189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22</xdr:row>
      <xdr:rowOff>0</xdr:rowOff>
    </xdr:from>
    <xdr:to>
      <xdr:col>17</xdr:col>
      <xdr:colOff>161925</xdr:colOff>
      <xdr:row>23</xdr:row>
      <xdr:rowOff>0</xdr:rowOff>
    </xdr:to>
    <xdr:sp>
      <xdr:nvSpPr>
        <xdr:cNvPr id="43" name="Line 437"/>
        <xdr:cNvSpPr>
          <a:spLocks/>
        </xdr:cNvSpPr>
      </xdr:nvSpPr>
      <xdr:spPr>
        <a:xfrm flipH="1">
          <a:off x="4743450" y="5057775"/>
          <a:ext cx="447675" cy="22860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19050</xdr:colOff>
      <xdr:row>16</xdr:row>
      <xdr:rowOff>0</xdr:rowOff>
    </xdr:from>
    <xdr:to>
      <xdr:col>23</xdr:col>
      <xdr:colOff>285750</xdr:colOff>
      <xdr:row>17</xdr:row>
      <xdr:rowOff>104775</xdr:rowOff>
    </xdr:to>
    <xdr:sp>
      <xdr:nvSpPr>
        <xdr:cNvPr id="44" name="Line 440"/>
        <xdr:cNvSpPr>
          <a:spLocks/>
        </xdr:cNvSpPr>
      </xdr:nvSpPr>
      <xdr:spPr>
        <a:xfrm flipH="1">
          <a:off x="6534150" y="3686175"/>
          <a:ext cx="561975" cy="3333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209550</xdr:colOff>
      <xdr:row>25</xdr:row>
      <xdr:rowOff>123825</xdr:rowOff>
    </xdr:from>
    <xdr:to>
      <xdr:col>25</xdr:col>
      <xdr:colOff>57150</xdr:colOff>
      <xdr:row>25</xdr:row>
      <xdr:rowOff>123825</xdr:rowOff>
    </xdr:to>
    <xdr:sp>
      <xdr:nvSpPr>
        <xdr:cNvPr id="45" name="Line 441"/>
        <xdr:cNvSpPr>
          <a:spLocks/>
        </xdr:cNvSpPr>
      </xdr:nvSpPr>
      <xdr:spPr>
        <a:xfrm>
          <a:off x="6724650" y="5867400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285750</xdr:colOff>
      <xdr:row>16</xdr:row>
      <xdr:rowOff>0</xdr:rowOff>
    </xdr:from>
    <xdr:to>
      <xdr:col>26</xdr:col>
      <xdr:colOff>285750</xdr:colOff>
      <xdr:row>16</xdr:row>
      <xdr:rowOff>0</xdr:rowOff>
    </xdr:to>
    <xdr:sp>
      <xdr:nvSpPr>
        <xdr:cNvPr id="46" name="Line 445"/>
        <xdr:cNvSpPr>
          <a:spLocks/>
        </xdr:cNvSpPr>
      </xdr:nvSpPr>
      <xdr:spPr>
        <a:xfrm flipH="1">
          <a:off x="7096125" y="3686175"/>
          <a:ext cx="885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17</xdr:row>
      <xdr:rowOff>114300</xdr:rowOff>
    </xdr:from>
    <xdr:to>
      <xdr:col>10</xdr:col>
      <xdr:colOff>9525</xdr:colOff>
      <xdr:row>28</xdr:row>
      <xdr:rowOff>152400</xdr:rowOff>
    </xdr:to>
    <xdr:grpSp>
      <xdr:nvGrpSpPr>
        <xdr:cNvPr id="47" name="Group 448"/>
        <xdr:cNvGrpSpPr>
          <a:grpSpLocks/>
        </xdr:cNvGrpSpPr>
      </xdr:nvGrpSpPr>
      <xdr:grpSpPr>
        <a:xfrm>
          <a:off x="2933700" y="4029075"/>
          <a:ext cx="28575" cy="2552700"/>
          <a:chOff x="248" y="252"/>
          <a:chExt cx="3" cy="268"/>
        </a:xfrm>
        <a:solidFill>
          <a:srgbClr val="FFFFFF"/>
        </a:solidFill>
      </xdr:grpSpPr>
      <xdr:sp>
        <xdr:nvSpPr>
          <xdr:cNvPr id="48" name="Line 446"/>
          <xdr:cNvSpPr>
            <a:spLocks/>
          </xdr:cNvSpPr>
        </xdr:nvSpPr>
        <xdr:spPr>
          <a:xfrm>
            <a:off x="251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447"/>
          <xdr:cNvSpPr>
            <a:spLocks/>
          </xdr:cNvSpPr>
        </xdr:nvSpPr>
        <xdr:spPr>
          <a:xfrm>
            <a:off x="248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285750</xdr:colOff>
      <xdr:row>17</xdr:row>
      <xdr:rowOff>123825</xdr:rowOff>
    </xdr:from>
    <xdr:to>
      <xdr:col>22</xdr:col>
      <xdr:colOff>19050</xdr:colOff>
      <xdr:row>28</xdr:row>
      <xdr:rowOff>161925</xdr:rowOff>
    </xdr:to>
    <xdr:grpSp>
      <xdr:nvGrpSpPr>
        <xdr:cNvPr id="50" name="Group 449"/>
        <xdr:cNvGrpSpPr>
          <a:grpSpLocks/>
        </xdr:cNvGrpSpPr>
      </xdr:nvGrpSpPr>
      <xdr:grpSpPr>
        <a:xfrm>
          <a:off x="6505575" y="4038600"/>
          <a:ext cx="28575" cy="2552700"/>
          <a:chOff x="248" y="252"/>
          <a:chExt cx="3" cy="268"/>
        </a:xfrm>
        <a:solidFill>
          <a:srgbClr val="FFFFFF"/>
        </a:solidFill>
      </xdr:grpSpPr>
      <xdr:sp>
        <xdr:nvSpPr>
          <xdr:cNvPr id="51" name="Line 450"/>
          <xdr:cNvSpPr>
            <a:spLocks/>
          </xdr:cNvSpPr>
        </xdr:nvSpPr>
        <xdr:spPr>
          <a:xfrm>
            <a:off x="251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451"/>
          <xdr:cNvSpPr>
            <a:spLocks/>
          </xdr:cNvSpPr>
        </xdr:nvSpPr>
        <xdr:spPr>
          <a:xfrm>
            <a:off x="248" y="252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20</xdr:row>
      <xdr:rowOff>66675</xdr:rowOff>
    </xdr:from>
    <xdr:to>
      <xdr:col>9</xdr:col>
      <xdr:colOff>104775</xdr:colOff>
      <xdr:row>23</xdr:row>
      <xdr:rowOff>0</xdr:rowOff>
    </xdr:to>
    <xdr:sp>
      <xdr:nvSpPr>
        <xdr:cNvPr id="53" name="Line 455"/>
        <xdr:cNvSpPr>
          <a:spLocks/>
        </xdr:cNvSpPr>
      </xdr:nvSpPr>
      <xdr:spPr>
        <a:xfrm>
          <a:off x="2362200" y="4667250"/>
          <a:ext cx="400050" cy="6191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66675</xdr:rowOff>
    </xdr:from>
    <xdr:to>
      <xdr:col>8</xdr:col>
      <xdr:colOff>0</xdr:colOff>
      <xdr:row>20</xdr:row>
      <xdr:rowOff>66675</xdr:rowOff>
    </xdr:to>
    <xdr:sp>
      <xdr:nvSpPr>
        <xdr:cNvPr id="54" name="Line 456"/>
        <xdr:cNvSpPr>
          <a:spLocks/>
        </xdr:cNvSpPr>
      </xdr:nvSpPr>
      <xdr:spPr>
        <a:xfrm>
          <a:off x="1771650" y="4667250"/>
          <a:ext cx="590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17</xdr:row>
      <xdr:rowOff>0</xdr:rowOff>
    </xdr:to>
    <xdr:sp>
      <xdr:nvSpPr>
        <xdr:cNvPr id="55" name="Line 459"/>
        <xdr:cNvSpPr>
          <a:spLocks/>
        </xdr:cNvSpPr>
      </xdr:nvSpPr>
      <xdr:spPr>
        <a:xfrm>
          <a:off x="2952750" y="3228975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15</xdr:row>
      <xdr:rowOff>0</xdr:rowOff>
    </xdr:to>
    <xdr:sp>
      <xdr:nvSpPr>
        <xdr:cNvPr id="56" name="Line 460"/>
        <xdr:cNvSpPr>
          <a:spLocks/>
        </xdr:cNvSpPr>
      </xdr:nvSpPr>
      <xdr:spPr>
        <a:xfrm>
          <a:off x="4724400" y="3228975"/>
          <a:ext cx="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0</xdr:colOff>
      <xdr:row>17</xdr:row>
      <xdr:rowOff>0</xdr:rowOff>
    </xdr:to>
    <xdr:sp>
      <xdr:nvSpPr>
        <xdr:cNvPr id="57" name="Line 461"/>
        <xdr:cNvSpPr>
          <a:spLocks/>
        </xdr:cNvSpPr>
      </xdr:nvSpPr>
      <xdr:spPr>
        <a:xfrm>
          <a:off x="6515100" y="3228975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16</xdr:col>
      <xdr:colOff>19050</xdr:colOff>
      <xdr:row>14</xdr:row>
      <xdr:rowOff>0</xdr:rowOff>
    </xdr:to>
    <xdr:sp>
      <xdr:nvSpPr>
        <xdr:cNvPr id="58" name="Line 462"/>
        <xdr:cNvSpPr>
          <a:spLocks/>
        </xdr:cNvSpPr>
      </xdr:nvSpPr>
      <xdr:spPr>
        <a:xfrm>
          <a:off x="2952750" y="3228975"/>
          <a:ext cx="1790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22</xdr:col>
      <xdr:colOff>0</xdr:colOff>
      <xdr:row>14</xdr:row>
      <xdr:rowOff>0</xdr:rowOff>
    </xdr:to>
    <xdr:sp>
      <xdr:nvSpPr>
        <xdr:cNvPr id="59" name="Line 463"/>
        <xdr:cNvSpPr>
          <a:spLocks/>
        </xdr:cNvSpPr>
      </xdr:nvSpPr>
      <xdr:spPr>
        <a:xfrm>
          <a:off x="4724400" y="3228975"/>
          <a:ext cx="1790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152400</xdr:colOff>
      <xdr:row>22</xdr:row>
      <xdr:rowOff>104775</xdr:rowOff>
    </xdr:from>
    <xdr:to>
      <xdr:col>16</xdr:col>
      <xdr:colOff>152400</xdr:colOff>
      <xdr:row>23</xdr:row>
      <xdr:rowOff>104775</xdr:rowOff>
    </xdr:to>
    <xdr:grpSp>
      <xdr:nvGrpSpPr>
        <xdr:cNvPr id="60" name="Group 469"/>
        <xdr:cNvGrpSpPr>
          <a:grpSpLocks/>
        </xdr:cNvGrpSpPr>
      </xdr:nvGrpSpPr>
      <xdr:grpSpPr>
        <a:xfrm>
          <a:off x="4581525" y="5162550"/>
          <a:ext cx="295275" cy="228600"/>
          <a:chOff x="150" y="480"/>
          <a:chExt cx="25" cy="24"/>
        </a:xfrm>
        <a:solidFill>
          <a:srgbClr val="FFFFFF"/>
        </a:solidFill>
      </xdr:grpSpPr>
      <xdr:sp>
        <xdr:nvSpPr>
          <xdr:cNvPr id="61" name="Line 467"/>
          <xdr:cNvSpPr>
            <a:spLocks/>
          </xdr:cNvSpPr>
        </xdr:nvSpPr>
        <xdr:spPr>
          <a:xfrm flipH="1"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468"/>
          <xdr:cNvSpPr>
            <a:spLocks/>
          </xdr:cNvSpPr>
        </xdr:nvSpPr>
        <xdr:spPr>
          <a:xfrm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152400</xdr:colOff>
      <xdr:row>22</xdr:row>
      <xdr:rowOff>104775</xdr:rowOff>
    </xdr:from>
    <xdr:to>
      <xdr:col>10</xdr:col>
      <xdr:colOff>152400</xdr:colOff>
      <xdr:row>23</xdr:row>
      <xdr:rowOff>104775</xdr:rowOff>
    </xdr:to>
    <xdr:grpSp>
      <xdr:nvGrpSpPr>
        <xdr:cNvPr id="63" name="Group 470"/>
        <xdr:cNvGrpSpPr>
          <a:grpSpLocks/>
        </xdr:cNvGrpSpPr>
      </xdr:nvGrpSpPr>
      <xdr:grpSpPr>
        <a:xfrm>
          <a:off x="2809875" y="5162550"/>
          <a:ext cx="295275" cy="228600"/>
          <a:chOff x="150" y="480"/>
          <a:chExt cx="25" cy="24"/>
        </a:xfrm>
        <a:solidFill>
          <a:srgbClr val="FFFFFF"/>
        </a:solidFill>
      </xdr:grpSpPr>
      <xdr:sp>
        <xdr:nvSpPr>
          <xdr:cNvPr id="64" name="Line 471"/>
          <xdr:cNvSpPr>
            <a:spLocks/>
          </xdr:cNvSpPr>
        </xdr:nvSpPr>
        <xdr:spPr>
          <a:xfrm flipH="1"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472"/>
          <xdr:cNvSpPr>
            <a:spLocks/>
          </xdr:cNvSpPr>
        </xdr:nvSpPr>
        <xdr:spPr>
          <a:xfrm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152400</xdr:colOff>
      <xdr:row>22</xdr:row>
      <xdr:rowOff>104775</xdr:rowOff>
    </xdr:from>
    <xdr:to>
      <xdr:col>22</xdr:col>
      <xdr:colOff>152400</xdr:colOff>
      <xdr:row>23</xdr:row>
      <xdr:rowOff>104775</xdr:rowOff>
    </xdr:to>
    <xdr:grpSp>
      <xdr:nvGrpSpPr>
        <xdr:cNvPr id="66" name="Group 473"/>
        <xdr:cNvGrpSpPr>
          <a:grpSpLocks/>
        </xdr:cNvGrpSpPr>
      </xdr:nvGrpSpPr>
      <xdr:grpSpPr>
        <a:xfrm>
          <a:off x="6372225" y="5162550"/>
          <a:ext cx="295275" cy="228600"/>
          <a:chOff x="150" y="480"/>
          <a:chExt cx="25" cy="24"/>
        </a:xfrm>
        <a:solidFill>
          <a:srgbClr val="FFFFFF"/>
        </a:solidFill>
      </xdr:grpSpPr>
      <xdr:sp>
        <xdr:nvSpPr>
          <xdr:cNvPr id="67" name="Line 474"/>
          <xdr:cNvSpPr>
            <a:spLocks/>
          </xdr:cNvSpPr>
        </xdr:nvSpPr>
        <xdr:spPr>
          <a:xfrm flipH="1"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475"/>
          <xdr:cNvSpPr>
            <a:spLocks/>
          </xdr:cNvSpPr>
        </xdr:nvSpPr>
        <xdr:spPr>
          <a:xfrm>
            <a:off x="150" y="480"/>
            <a:ext cx="25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10</xdr:row>
      <xdr:rowOff>85725</xdr:rowOff>
    </xdr:from>
    <xdr:to>
      <xdr:col>9</xdr:col>
      <xdr:colOff>200025</xdr:colOff>
      <xdr:row>19</xdr:row>
      <xdr:rowOff>209550</xdr:rowOff>
    </xdr:to>
    <xdr:sp>
      <xdr:nvSpPr>
        <xdr:cNvPr id="1" name="Rectangle 131"/>
        <xdr:cNvSpPr>
          <a:spLocks/>
        </xdr:cNvSpPr>
      </xdr:nvSpPr>
      <xdr:spPr>
        <a:xfrm>
          <a:off x="3048000" y="2428875"/>
          <a:ext cx="7620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95250</xdr:colOff>
      <xdr:row>11</xdr:row>
      <xdr:rowOff>209550</xdr:rowOff>
    </xdr:from>
    <xdr:to>
      <xdr:col>11</xdr:col>
      <xdr:colOff>190500</xdr:colOff>
      <xdr:row>20</xdr:row>
      <xdr:rowOff>9525</xdr:rowOff>
    </xdr:to>
    <xdr:sp>
      <xdr:nvSpPr>
        <xdr:cNvPr id="2" name="Rectangle 248"/>
        <xdr:cNvSpPr>
          <a:spLocks/>
        </xdr:cNvSpPr>
      </xdr:nvSpPr>
      <xdr:spPr>
        <a:xfrm rot="20068824" flipH="1">
          <a:off x="3657600" y="2781300"/>
          <a:ext cx="9525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24</xdr:col>
      <xdr:colOff>0</xdr:colOff>
      <xdr:row>37</xdr:row>
      <xdr:rowOff>142875</xdr:rowOff>
    </xdr:to>
    <xdr:sp>
      <xdr:nvSpPr>
        <xdr:cNvPr id="3" name="Rectangle 83"/>
        <xdr:cNvSpPr>
          <a:spLocks/>
        </xdr:cNvSpPr>
      </xdr:nvSpPr>
      <xdr:spPr>
        <a:xfrm>
          <a:off x="4857750" y="8515350"/>
          <a:ext cx="2914650" cy="1428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0</xdr:colOff>
      <xdr:row>37</xdr:row>
      <xdr:rowOff>0</xdr:rowOff>
    </xdr:to>
    <xdr:sp>
      <xdr:nvSpPr>
        <xdr:cNvPr id="4" name="Line 84"/>
        <xdr:cNvSpPr>
          <a:spLocks/>
        </xdr:cNvSpPr>
      </xdr:nvSpPr>
      <xdr:spPr>
        <a:xfrm>
          <a:off x="5181600" y="76009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37</xdr:row>
      <xdr:rowOff>0</xdr:rowOff>
    </xdr:to>
    <xdr:sp>
      <xdr:nvSpPr>
        <xdr:cNvPr id="5" name="Line 85"/>
        <xdr:cNvSpPr>
          <a:spLocks/>
        </xdr:cNvSpPr>
      </xdr:nvSpPr>
      <xdr:spPr>
        <a:xfrm>
          <a:off x="5505450" y="76009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37</xdr:row>
      <xdr:rowOff>0</xdr:rowOff>
    </xdr:to>
    <xdr:sp>
      <xdr:nvSpPr>
        <xdr:cNvPr id="6" name="Line 86"/>
        <xdr:cNvSpPr>
          <a:spLocks/>
        </xdr:cNvSpPr>
      </xdr:nvSpPr>
      <xdr:spPr>
        <a:xfrm>
          <a:off x="6153150" y="76009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7" name="Line 87"/>
        <xdr:cNvSpPr>
          <a:spLocks/>
        </xdr:cNvSpPr>
      </xdr:nvSpPr>
      <xdr:spPr>
        <a:xfrm>
          <a:off x="5181600" y="76009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8" name="Line 88"/>
        <xdr:cNvSpPr>
          <a:spLocks/>
        </xdr:cNvSpPr>
      </xdr:nvSpPr>
      <xdr:spPr>
        <a:xfrm>
          <a:off x="4857750" y="851535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23</xdr:col>
      <xdr:colOff>0</xdr:colOff>
      <xdr:row>35</xdr:row>
      <xdr:rowOff>142875</xdr:rowOff>
    </xdr:to>
    <xdr:grpSp>
      <xdr:nvGrpSpPr>
        <xdr:cNvPr id="9" name="Group 89"/>
        <xdr:cNvGrpSpPr>
          <a:grpSpLocks/>
        </xdr:cNvGrpSpPr>
      </xdr:nvGrpSpPr>
      <xdr:grpSpPr>
        <a:xfrm>
          <a:off x="7124700" y="8058150"/>
          <a:ext cx="323850" cy="142875"/>
          <a:chOff x="594" y="912"/>
          <a:chExt cx="27" cy="15"/>
        </a:xfrm>
        <a:solidFill>
          <a:srgbClr val="FFFFFF"/>
        </a:solidFill>
      </xdr:grpSpPr>
      <xdr:sp>
        <xdr:nvSpPr>
          <xdr:cNvPr id="10" name="Line 90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91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92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93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23</xdr:col>
      <xdr:colOff>180975</xdr:colOff>
      <xdr:row>35</xdr:row>
      <xdr:rowOff>0</xdr:rowOff>
    </xdr:from>
    <xdr:to>
      <xdr:col>24</xdr:col>
      <xdr:colOff>0</xdr:colOff>
      <xdr:row>35</xdr:row>
      <xdr:rowOff>142875</xdr:rowOff>
    </xdr:to>
    <xdr:sp>
      <xdr:nvSpPr>
        <xdr:cNvPr id="14" name="Line 94"/>
        <xdr:cNvSpPr>
          <a:spLocks/>
        </xdr:cNvSpPr>
      </xdr:nvSpPr>
      <xdr:spPr>
        <a:xfrm flipH="1">
          <a:off x="7629525" y="8058150"/>
          <a:ext cx="142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142875</xdr:rowOff>
    </xdr:from>
    <xdr:to>
      <xdr:col>23</xdr:col>
      <xdr:colOff>180975</xdr:colOff>
      <xdr:row>35</xdr:row>
      <xdr:rowOff>142875</xdr:rowOff>
    </xdr:to>
    <xdr:sp>
      <xdr:nvSpPr>
        <xdr:cNvPr id="15" name="Line 95"/>
        <xdr:cNvSpPr>
          <a:spLocks/>
        </xdr:cNvSpPr>
      </xdr:nvSpPr>
      <xdr:spPr>
        <a:xfrm>
          <a:off x="7448550" y="8201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38100</xdr:rowOff>
    </xdr:from>
    <xdr:to>
      <xdr:col>17</xdr:col>
      <xdr:colOff>190500</xdr:colOff>
      <xdr:row>33</xdr:row>
      <xdr:rowOff>161925</xdr:rowOff>
    </xdr:to>
    <xdr:sp>
      <xdr:nvSpPr>
        <xdr:cNvPr id="16" name="Rectangle 96"/>
        <xdr:cNvSpPr>
          <a:spLocks/>
        </xdr:cNvSpPr>
      </xdr:nvSpPr>
      <xdr:spPr>
        <a:xfrm>
          <a:off x="5591175" y="763905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38100</xdr:rowOff>
    </xdr:from>
    <xdr:to>
      <xdr:col>18</xdr:col>
      <xdr:colOff>57150</xdr:colOff>
      <xdr:row>33</xdr:row>
      <xdr:rowOff>161925</xdr:rowOff>
    </xdr:to>
    <xdr:sp>
      <xdr:nvSpPr>
        <xdr:cNvPr id="17" name="Rectangle 97"/>
        <xdr:cNvSpPr>
          <a:spLocks/>
        </xdr:cNvSpPr>
      </xdr:nvSpPr>
      <xdr:spPr>
        <a:xfrm>
          <a:off x="5781675" y="763905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33</xdr:row>
      <xdr:rowOff>38100</xdr:rowOff>
    </xdr:from>
    <xdr:to>
      <xdr:col>18</xdr:col>
      <xdr:colOff>238125</xdr:colOff>
      <xdr:row>33</xdr:row>
      <xdr:rowOff>161925</xdr:rowOff>
    </xdr:to>
    <xdr:sp>
      <xdr:nvSpPr>
        <xdr:cNvPr id="18" name="Rectangle 98"/>
        <xdr:cNvSpPr>
          <a:spLocks/>
        </xdr:cNvSpPr>
      </xdr:nvSpPr>
      <xdr:spPr>
        <a:xfrm>
          <a:off x="5962650" y="763905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190500</xdr:rowOff>
    </xdr:from>
    <xdr:to>
      <xdr:col>17</xdr:col>
      <xdr:colOff>190500</xdr:colOff>
      <xdr:row>34</xdr:row>
      <xdr:rowOff>85725</xdr:rowOff>
    </xdr:to>
    <xdr:sp>
      <xdr:nvSpPr>
        <xdr:cNvPr id="19" name="Rectangle 99"/>
        <xdr:cNvSpPr>
          <a:spLocks/>
        </xdr:cNvSpPr>
      </xdr:nvSpPr>
      <xdr:spPr>
        <a:xfrm>
          <a:off x="5591175" y="779145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190500</xdr:rowOff>
    </xdr:from>
    <xdr:to>
      <xdr:col>18</xdr:col>
      <xdr:colOff>57150</xdr:colOff>
      <xdr:row>34</xdr:row>
      <xdr:rowOff>85725</xdr:rowOff>
    </xdr:to>
    <xdr:sp>
      <xdr:nvSpPr>
        <xdr:cNvPr id="20" name="Rectangle 100"/>
        <xdr:cNvSpPr>
          <a:spLocks/>
        </xdr:cNvSpPr>
      </xdr:nvSpPr>
      <xdr:spPr>
        <a:xfrm>
          <a:off x="5781675" y="779145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33</xdr:row>
      <xdr:rowOff>190500</xdr:rowOff>
    </xdr:from>
    <xdr:to>
      <xdr:col>18</xdr:col>
      <xdr:colOff>238125</xdr:colOff>
      <xdr:row>34</xdr:row>
      <xdr:rowOff>85725</xdr:rowOff>
    </xdr:to>
    <xdr:sp>
      <xdr:nvSpPr>
        <xdr:cNvPr id="21" name="Rectangle 101"/>
        <xdr:cNvSpPr>
          <a:spLocks/>
        </xdr:cNvSpPr>
      </xdr:nvSpPr>
      <xdr:spPr>
        <a:xfrm>
          <a:off x="5962650" y="779145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123825</xdr:rowOff>
    </xdr:from>
    <xdr:to>
      <xdr:col>17</xdr:col>
      <xdr:colOff>190500</xdr:colOff>
      <xdr:row>35</xdr:row>
      <xdr:rowOff>19050</xdr:rowOff>
    </xdr:to>
    <xdr:sp>
      <xdr:nvSpPr>
        <xdr:cNvPr id="22" name="Rectangle 102"/>
        <xdr:cNvSpPr>
          <a:spLocks/>
        </xdr:cNvSpPr>
      </xdr:nvSpPr>
      <xdr:spPr>
        <a:xfrm>
          <a:off x="5591175" y="795337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34</xdr:row>
      <xdr:rowOff>123825</xdr:rowOff>
    </xdr:from>
    <xdr:to>
      <xdr:col>18</xdr:col>
      <xdr:colOff>57150</xdr:colOff>
      <xdr:row>35</xdr:row>
      <xdr:rowOff>19050</xdr:rowOff>
    </xdr:to>
    <xdr:sp>
      <xdr:nvSpPr>
        <xdr:cNvPr id="23" name="Rectangle 103"/>
        <xdr:cNvSpPr>
          <a:spLocks/>
        </xdr:cNvSpPr>
      </xdr:nvSpPr>
      <xdr:spPr>
        <a:xfrm>
          <a:off x="5781675" y="795337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34</xdr:row>
      <xdr:rowOff>123825</xdr:rowOff>
    </xdr:from>
    <xdr:to>
      <xdr:col>18</xdr:col>
      <xdr:colOff>238125</xdr:colOff>
      <xdr:row>35</xdr:row>
      <xdr:rowOff>19050</xdr:rowOff>
    </xdr:to>
    <xdr:sp>
      <xdr:nvSpPr>
        <xdr:cNvPr id="24" name="Rectangle 104"/>
        <xdr:cNvSpPr>
          <a:spLocks/>
        </xdr:cNvSpPr>
      </xdr:nvSpPr>
      <xdr:spPr>
        <a:xfrm>
          <a:off x="5962650" y="795337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47625</xdr:rowOff>
    </xdr:from>
    <xdr:to>
      <xdr:col>17</xdr:col>
      <xdr:colOff>190500</xdr:colOff>
      <xdr:row>35</xdr:row>
      <xdr:rowOff>171450</xdr:rowOff>
    </xdr:to>
    <xdr:sp>
      <xdr:nvSpPr>
        <xdr:cNvPr id="25" name="Rectangle 105"/>
        <xdr:cNvSpPr>
          <a:spLocks/>
        </xdr:cNvSpPr>
      </xdr:nvSpPr>
      <xdr:spPr>
        <a:xfrm>
          <a:off x="5591175" y="810577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35</xdr:row>
      <xdr:rowOff>47625</xdr:rowOff>
    </xdr:from>
    <xdr:to>
      <xdr:col>18</xdr:col>
      <xdr:colOff>57150</xdr:colOff>
      <xdr:row>35</xdr:row>
      <xdr:rowOff>171450</xdr:rowOff>
    </xdr:to>
    <xdr:sp>
      <xdr:nvSpPr>
        <xdr:cNvPr id="26" name="Rectangle 106"/>
        <xdr:cNvSpPr>
          <a:spLocks/>
        </xdr:cNvSpPr>
      </xdr:nvSpPr>
      <xdr:spPr>
        <a:xfrm>
          <a:off x="5781675" y="810577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35</xdr:row>
      <xdr:rowOff>47625</xdr:rowOff>
    </xdr:from>
    <xdr:to>
      <xdr:col>18</xdr:col>
      <xdr:colOff>238125</xdr:colOff>
      <xdr:row>35</xdr:row>
      <xdr:rowOff>171450</xdr:rowOff>
    </xdr:to>
    <xdr:sp>
      <xdr:nvSpPr>
        <xdr:cNvPr id="27" name="Rectangle 107"/>
        <xdr:cNvSpPr>
          <a:spLocks/>
        </xdr:cNvSpPr>
      </xdr:nvSpPr>
      <xdr:spPr>
        <a:xfrm>
          <a:off x="5962650" y="810577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247650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28" name="Line 108"/>
        <xdr:cNvSpPr>
          <a:spLocks/>
        </xdr:cNvSpPr>
      </xdr:nvSpPr>
      <xdr:spPr>
        <a:xfrm>
          <a:off x="6400800" y="760095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37</xdr:row>
      <xdr:rowOff>0</xdr:rowOff>
    </xdr:to>
    <xdr:sp>
      <xdr:nvSpPr>
        <xdr:cNvPr id="29" name="Line 109"/>
        <xdr:cNvSpPr>
          <a:spLocks/>
        </xdr:cNvSpPr>
      </xdr:nvSpPr>
      <xdr:spPr>
        <a:xfrm>
          <a:off x="6800850" y="7600950"/>
          <a:ext cx="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247650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30" name="Line 110"/>
        <xdr:cNvSpPr>
          <a:spLocks/>
        </xdr:cNvSpPr>
      </xdr:nvSpPr>
      <xdr:spPr>
        <a:xfrm>
          <a:off x="8020050" y="851535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247650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31" name="Line 111"/>
        <xdr:cNvSpPr>
          <a:spLocks/>
        </xdr:cNvSpPr>
      </xdr:nvSpPr>
      <xdr:spPr>
        <a:xfrm>
          <a:off x="8020050" y="805815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37</xdr:row>
      <xdr:rowOff>0</xdr:rowOff>
    </xdr:to>
    <xdr:sp>
      <xdr:nvSpPr>
        <xdr:cNvPr id="32" name="Line 112"/>
        <xdr:cNvSpPr>
          <a:spLocks/>
        </xdr:cNvSpPr>
      </xdr:nvSpPr>
      <xdr:spPr>
        <a:xfrm flipH="1">
          <a:off x="8420100" y="805815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0</xdr:colOff>
      <xdr:row>39</xdr:row>
      <xdr:rowOff>0</xdr:rowOff>
    </xdr:to>
    <xdr:sp>
      <xdr:nvSpPr>
        <xdr:cNvPr id="33" name="Line 113"/>
        <xdr:cNvSpPr>
          <a:spLocks/>
        </xdr:cNvSpPr>
      </xdr:nvSpPr>
      <xdr:spPr>
        <a:xfrm flipV="1">
          <a:off x="7124700" y="828675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39</xdr:row>
      <xdr:rowOff>0</xdr:rowOff>
    </xdr:to>
    <xdr:sp>
      <xdr:nvSpPr>
        <xdr:cNvPr id="34" name="Line 114"/>
        <xdr:cNvSpPr>
          <a:spLocks/>
        </xdr:cNvSpPr>
      </xdr:nvSpPr>
      <xdr:spPr>
        <a:xfrm flipH="1" flipV="1">
          <a:off x="6153150" y="851535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>
      <xdr:nvSpPr>
        <xdr:cNvPr id="35" name="Line 115"/>
        <xdr:cNvSpPr>
          <a:spLocks/>
        </xdr:cNvSpPr>
      </xdr:nvSpPr>
      <xdr:spPr>
        <a:xfrm>
          <a:off x="6153150" y="8972550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152400</xdr:colOff>
      <xdr:row>41</xdr:row>
      <xdr:rowOff>0</xdr:rowOff>
    </xdr:from>
    <xdr:to>
      <xdr:col>18</xdr:col>
      <xdr:colOff>152400</xdr:colOff>
      <xdr:row>44</xdr:row>
      <xdr:rowOff>0</xdr:rowOff>
    </xdr:to>
    <xdr:sp>
      <xdr:nvSpPr>
        <xdr:cNvPr id="36" name="Rectangle 116"/>
        <xdr:cNvSpPr>
          <a:spLocks/>
        </xdr:cNvSpPr>
      </xdr:nvSpPr>
      <xdr:spPr>
        <a:xfrm rot="1678768">
          <a:off x="5334000" y="9429750"/>
          <a:ext cx="647700" cy="6858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76200</xdr:colOff>
      <xdr:row>39</xdr:row>
      <xdr:rowOff>114300</xdr:rowOff>
    </xdr:from>
    <xdr:to>
      <xdr:col>17</xdr:col>
      <xdr:colOff>238125</xdr:colOff>
      <xdr:row>40</xdr:row>
      <xdr:rowOff>142875</xdr:rowOff>
    </xdr:to>
    <xdr:sp>
      <xdr:nvSpPr>
        <xdr:cNvPr id="37" name="Line 117"/>
        <xdr:cNvSpPr>
          <a:spLocks/>
        </xdr:cNvSpPr>
      </xdr:nvSpPr>
      <xdr:spPr>
        <a:xfrm rot="16200000">
          <a:off x="5581650" y="9086850"/>
          <a:ext cx="1714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123825</xdr:rowOff>
    </xdr:from>
    <xdr:to>
      <xdr:col>19</xdr:col>
      <xdr:colOff>171450</xdr:colOff>
      <xdr:row>41</xdr:row>
      <xdr:rowOff>152400</xdr:rowOff>
    </xdr:to>
    <xdr:sp>
      <xdr:nvSpPr>
        <xdr:cNvPr id="38" name="Line 118"/>
        <xdr:cNvSpPr>
          <a:spLocks/>
        </xdr:cNvSpPr>
      </xdr:nvSpPr>
      <xdr:spPr>
        <a:xfrm rot="16200000">
          <a:off x="6153150" y="9324975"/>
          <a:ext cx="1714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39</xdr:row>
      <xdr:rowOff>114300</xdr:rowOff>
    </xdr:from>
    <xdr:to>
      <xdr:col>19</xdr:col>
      <xdr:colOff>171450</xdr:colOff>
      <xdr:row>40</xdr:row>
      <xdr:rowOff>123825</xdr:rowOff>
    </xdr:to>
    <xdr:sp>
      <xdr:nvSpPr>
        <xdr:cNvPr id="39" name="Line 119"/>
        <xdr:cNvSpPr>
          <a:spLocks/>
        </xdr:cNvSpPr>
      </xdr:nvSpPr>
      <xdr:spPr>
        <a:xfrm>
          <a:off x="5743575" y="9086850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9525</xdr:colOff>
      <xdr:row>41</xdr:row>
      <xdr:rowOff>161925</xdr:rowOff>
    </xdr:from>
    <xdr:to>
      <xdr:col>20</xdr:col>
      <xdr:colOff>266700</xdr:colOff>
      <xdr:row>42</xdr:row>
      <xdr:rowOff>171450</xdr:rowOff>
    </xdr:to>
    <xdr:sp>
      <xdr:nvSpPr>
        <xdr:cNvPr id="40" name="Line 120"/>
        <xdr:cNvSpPr>
          <a:spLocks/>
        </xdr:cNvSpPr>
      </xdr:nvSpPr>
      <xdr:spPr>
        <a:xfrm>
          <a:off x="6162675" y="9591675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180975</xdr:colOff>
      <xdr:row>42</xdr:row>
      <xdr:rowOff>161925</xdr:rowOff>
    </xdr:from>
    <xdr:to>
      <xdr:col>20</xdr:col>
      <xdr:colOff>266700</xdr:colOff>
      <xdr:row>45</xdr:row>
      <xdr:rowOff>95250</xdr:rowOff>
    </xdr:to>
    <xdr:sp>
      <xdr:nvSpPr>
        <xdr:cNvPr id="41" name="Line 121"/>
        <xdr:cNvSpPr>
          <a:spLocks/>
        </xdr:cNvSpPr>
      </xdr:nvSpPr>
      <xdr:spPr>
        <a:xfrm rot="16200000">
          <a:off x="6334125" y="9820275"/>
          <a:ext cx="409575" cy="619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26</xdr:col>
      <xdr:colOff>0</xdr:colOff>
      <xdr:row>33</xdr:row>
      <xdr:rowOff>0</xdr:rowOff>
    </xdr:to>
    <xdr:sp>
      <xdr:nvSpPr>
        <xdr:cNvPr id="42" name="Line 122"/>
        <xdr:cNvSpPr>
          <a:spLocks/>
        </xdr:cNvSpPr>
      </xdr:nvSpPr>
      <xdr:spPr>
        <a:xfrm flipV="1">
          <a:off x="7772400" y="7600950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24</xdr:col>
      <xdr:colOff>0</xdr:colOff>
      <xdr:row>35</xdr:row>
      <xdr:rowOff>0</xdr:rowOff>
    </xdr:to>
    <xdr:sp>
      <xdr:nvSpPr>
        <xdr:cNvPr id="43" name="Line 123"/>
        <xdr:cNvSpPr>
          <a:spLocks/>
        </xdr:cNvSpPr>
      </xdr:nvSpPr>
      <xdr:spPr>
        <a:xfrm flipH="1">
          <a:off x="7448550" y="7600950"/>
          <a:ext cx="3238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247650</xdr:colOff>
      <xdr:row>44</xdr:row>
      <xdr:rowOff>85725</xdr:rowOff>
    </xdr:from>
    <xdr:to>
      <xdr:col>19</xdr:col>
      <xdr:colOff>180975</xdr:colOff>
      <xdr:row>45</xdr:row>
      <xdr:rowOff>95250</xdr:rowOff>
    </xdr:to>
    <xdr:sp>
      <xdr:nvSpPr>
        <xdr:cNvPr id="44" name="Line 124"/>
        <xdr:cNvSpPr>
          <a:spLocks/>
        </xdr:cNvSpPr>
      </xdr:nvSpPr>
      <xdr:spPr>
        <a:xfrm>
          <a:off x="5753100" y="10201275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314325</xdr:colOff>
      <xdr:row>16</xdr:row>
      <xdr:rowOff>0</xdr:rowOff>
    </xdr:from>
    <xdr:to>
      <xdr:col>25</xdr:col>
      <xdr:colOff>276225</xdr:colOff>
      <xdr:row>16</xdr:row>
      <xdr:rowOff>0</xdr:rowOff>
    </xdr:to>
    <xdr:sp>
      <xdr:nvSpPr>
        <xdr:cNvPr id="45" name="Line 127"/>
        <xdr:cNvSpPr>
          <a:spLocks/>
        </xdr:cNvSpPr>
      </xdr:nvSpPr>
      <xdr:spPr>
        <a:xfrm flipH="1">
          <a:off x="5495925" y="3714750"/>
          <a:ext cx="2876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0</xdr:rowOff>
    </xdr:from>
    <xdr:to>
      <xdr:col>18</xdr:col>
      <xdr:colOff>133350</xdr:colOff>
      <xdr:row>19</xdr:row>
      <xdr:rowOff>0</xdr:rowOff>
    </xdr:to>
    <xdr:sp>
      <xdr:nvSpPr>
        <xdr:cNvPr id="46" name="Line 132"/>
        <xdr:cNvSpPr>
          <a:spLocks/>
        </xdr:cNvSpPr>
      </xdr:nvSpPr>
      <xdr:spPr>
        <a:xfrm>
          <a:off x="2962275" y="4400550"/>
          <a:ext cx="300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57150</xdr:rowOff>
    </xdr:from>
    <xdr:to>
      <xdr:col>19</xdr:col>
      <xdr:colOff>152400</xdr:colOff>
      <xdr:row>19</xdr:row>
      <xdr:rowOff>57150</xdr:rowOff>
    </xdr:to>
    <xdr:sp>
      <xdr:nvSpPr>
        <xdr:cNvPr id="47" name="Line 133"/>
        <xdr:cNvSpPr>
          <a:spLocks/>
        </xdr:cNvSpPr>
      </xdr:nvSpPr>
      <xdr:spPr>
        <a:xfrm flipV="1">
          <a:off x="2962275" y="4457700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0</xdr:rowOff>
    </xdr:from>
    <xdr:to>
      <xdr:col>9</xdr:col>
      <xdr:colOff>47625</xdr:colOff>
      <xdr:row>19</xdr:row>
      <xdr:rowOff>57150</xdr:rowOff>
    </xdr:to>
    <xdr:sp>
      <xdr:nvSpPr>
        <xdr:cNvPr id="48" name="Line 134"/>
        <xdr:cNvSpPr>
          <a:spLocks/>
        </xdr:cNvSpPr>
      </xdr:nvSpPr>
      <xdr:spPr>
        <a:xfrm>
          <a:off x="2962275" y="44005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18</xdr:row>
      <xdr:rowOff>152400</xdr:rowOff>
    </xdr:from>
    <xdr:to>
      <xdr:col>9</xdr:col>
      <xdr:colOff>295275</xdr:colOff>
      <xdr:row>19</xdr:row>
      <xdr:rowOff>0</xdr:rowOff>
    </xdr:to>
    <xdr:sp>
      <xdr:nvSpPr>
        <xdr:cNvPr id="49" name="Oval 135"/>
        <xdr:cNvSpPr>
          <a:spLocks/>
        </xdr:cNvSpPr>
      </xdr:nvSpPr>
      <xdr:spPr>
        <a:xfrm flipH="1">
          <a:off x="3114675" y="432435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276225</xdr:colOff>
      <xdr:row>19</xdr:row>
      <xdr:rowOff>66675</xdr:rowOff>
    </xdr:from>
    <xdr:to>
      <xdr:col>14</xdr:col>
      <xdr:colOff>57150</xdr:colOff>
      <xdr:row>19</xdr:row>
      <xdr:rowOff>152400</xdr:rowOff>
    </xdr:to>
    <xdr:sp>
      <xdr:nvSpPr>
        <xdr:cNvPr id="50" name="Oval 139"/>
        <xdr:cNvSpPr>
          <a:spLocks/>
        </xdr:cNvSpPr>
      </xdr:nvSpPr>
      <xdr:spPr>
        <a:xfrm>
          <a:off x="4486275" y="4467225"/>
          <a:ext cx="104775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190500</xdr:rowOff>
    </xdr:from>
    <xdr:to>
      <xdr:col>14</xdr:col>
      <xdr:colOff>9525</xdr:colOff>
      <xdr:row>9</xdr:row>
      <xdr:rowOff>114300</xdr:rowOff>
    </xdr:to>
    <xdr:sp>
      <xdr:nvSpPr>
        <xdr:cNvPr id="51" name="Line 140"/>
        <xdr:cNvSpPr>
          <a:spLocks/>
        </xdr:cNvSpPr>
      </xdr:nvSpPr>
      <xdr:spPr>
        <a:xfrm>
          <a:off x="3886200" y="2076450"/>
          <a:ext cx="6572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171450</xdr:colOff>
      <xdr:row>9</xdr:row>
      <xdr:rowOff>38100</xdr:rowOff>
    </xdr:from>
    <xdr:to>
      <xdr:col>16</xdr:col>
      <xdr:colOff>133350</xdr:colOff>
      <xdr:row>9</xdr:row>
      <xdr:rowOff>114300</xdr:rowOff>
    </xdr:to>
    <xdr:sp>
      <xdr:nvSpPr>
        <xdr:cNvPr id="52" name="Line 141"/>
        <xdr:cNvSpPr>
          <a:spLocks/>
        </xdr:cNvSpPr>
      </xdr:nvSpPr>
      <xdr:spPr>
        <a:xfrm flipV="1">
          <a:off x="5029200" y="2152650"/>
          <a:ext cx="2857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133350</xdr:colOff>
      <xdr:row>9</xdr:row>
      <xdr:rowOff>38100</xdr:rowOff>
    </xdr:from>
    <xdr:to>
      <xdr:col>18</xdr:col>
      <xdr:colOff>0</xdr:colOff>
      <xdr:row>9</xdr:row>
      <xdr:rowOff>38100</xdr:rowOff>
    </xdr:to>
    <xdr:sp>
      <xdr:nvSpPr>
        <xdr:cNvPr id="53" name="Line 142"/>
        <xdr:cNvSpPr>
          <a:spLocks/>
        </xdr:cNvSpPr>
      </xdr:nvSpPr>
      <xdr:spPr>
        <a:xfrm>
          <a:off x="5314950" y="215265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200025</xdr:rowOff>
    </xdr:from>
    <xdr:to>
      <xdr:col>12</xdr:col>
      <xdr:colOff>0</xdr:colOff>
      <xdr:row>8</xdr:row>
      <xdr:rowOff>190500</xdr:rowOff>
    </xdr:to>
    <xdr:sp>
      <xdr:nvSpPr>
        <xdr:cNvPr id="54" name="Line 143"/>
        <xdr:cNvSpPr>
          <a:spLocks/>
        </xdr:cNvSpPr>
      </xdr:nvSpPr>
      <xdr:spPr>
        <a:xfrm flipV="1">
          <a:off x="3886200" y="18573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200025</xdr:rowOff>
    </xdr:from>
    <xdr:to>
      <xdr:col>12</xdr:col>
      <xdr:colOff>228600</xdr:colOff>
      <xdr:row>7</xdr:row>
      <xdr:rowOff>200025</xdr:rowOff>
    </xdr:to>
    <xdr:sp>
      <xdr:nvSpPr>
        <xdr:cNvPr id="55" name="Line 144"/>
        <xdr:cNvSpPr>
          <a:spLocks/>
        </xdr:cNvSpPr>
      </xdr:nvSpPr>
      <xdr:spPr>
        <a:xfrm>
          <a:off x="3886200" y="1857375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238125</xdr:colOff>
      <xdr:row>7</xdr:row>
      <xdr:rowOff>200025</xdr:rowOff>
    </xdr:from>
    <xdr:to>
      <xdr:col>12</xdr:col>
      <xdr:colOff>238125</xdr:colOff>
      <xdr:row>8</xdr:row>
      <xdr:rowOff>114300</xdr:rowOff>
    </xdr:to>
    <xdr:sp>
      <xdr:nvSpPr>
        <xdr:cNvPr id="56" name="Line 145"/>
        <xdr:cNvSpPr>
          <a:spLocks/>
        </xdr:cNvSpPr>
      </xdr:nvSpPr>
      <xdr:spPr>
        <a:xfrm>
          <a:off x="4124325" y="1857375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114300</xdr:rowOff>
    </xdr:from>
    <xdr:to>
      <xdr:col>17</xdr:col>
      <xdr:colOff>314325</xdr:colOff>
      <xdr:row>8</xdr:row>
      <xdr:rowOff>114300</xdr:rowOff>
    </xdr:to>
    <xdr:sp>
      <xdr:nvSpPr>
        <xdr:cNvPr id="57" name="Line 146"/>
        <xdr:cNvSpPr>
          <a:spLocks/>
        </xdr:cNvSpPr>
      </xdr:nvSpPr>
      <xdr:spPr>
        <a:xfrm>
          <a:off x="4124325" y="2000250"/>
          <a:ext cx="169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9</xdr:row>
      <xdr:rowOff>123825</xdr:rowOff>
    </xdr:from>
    <xdr:to>
      <xdr:col>14</xdr:col>
      <xdr:colOff>228600</xdr:colOff>
      <xdr:row>18</xdr:row>
      <xdr:rowOff>190500</xdr:rowOff>
    </xdr:to>
    <xdr:sp>
      <xdr:nvSpPr>
        <xdr:cNvPr id="58" name="Line 147"/>
        <xdr:cNvSpPr>
          <a:spLocks/>
        </xdr:cNvSpPr>
      </xdr:nvSpPr>
      <xdr:spPr>
        <a:xfrm flipH="1">
          <a:off x="3143250" y="2238375"/>
          <a:ext cx="1619250" cy="21240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180975</xdr:rowOff>
    </xdr:from>
    <xdr:to>
      <xdr:col>14</xdr:col>
      <xdr:colOff>9525</xdr:colOff>
      <xdr:row>19</xdr:row>
      <xdr:rowOff>47625</xdr:rowOff>
    </xdr:to>
    <xdr:sp>
      <xdr:nvSpPr>
        <xdr:cNvPr id="59" name="Line 149"/>
        <xdr:cNvSpPr>
          <a:spLocks/>
        </xdr:cNvSpPr>
      </xdr:nvSpPr>
      <xdr:spPr>
        <a:xfrm>
          <a:off x="4543425" y="3209925"/>
          <a:ext cx="0" cy="1238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28575</xdr:colOff>
      <xdr:row>18</xdr:row>
      <xdr:rowOff>190500</xdr:rowOff>
    </xdr:from>
    <xdr:to>
      <xdr:col>17</xdr:col>
      <xdr:colOff>200025</xdr:colOff>
      <xdr:row>19</xdr:row>
      <xdr:rowOff>0</xdr:rowOff>
    </xdr:to>
    <xdr:grpSp>
      <xdr:nvGrpSpPr>
        <xdr:cNvPr id="60" name="Group 151"/>
        <xdr:cNvGrpSpPr>
          <a:grpSpLocks/>
        </xdr:cNvGrpSpPr>
      </xdr:nvGrpSpPr>
      <xdr:grpSpPr>
        <a:xfrm>
          <a:off x="5210175" y="4362450"/>
          <a:ext cx="495300" cy="38100"/>
          <a:chOff x="-4406" y="-401564"/>
          <a:chExt cx="20553" cy="33"/>
        </a:xfrm>
        <a:solidFill>
          <a:srgbClr val="FFFFFF"/>
        </a:solidFill>
      </xdr:grpSpPr>
      <xdr:sp>
        <xdr:nvSpPr>
          <xdr:cNvPr id="61" name="Rectangle 152"/>
          <xdr:cNvSpPr>
            <a:spLocks/>
          </xdr:cNvSpPr>
        </xdr:nvSpPr>
        <xdr:spPr>
          <a:xfrm>
            <a:off x="5608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Rectangle 153"/>
          <xdr:cNvSpPr>
            <a:spLocks/>
          </xdr:cNvSpPr>
        </xdr:nvSpPr>
        <xdr:spPr>
          <a:xfrm>
            <a:off x="-440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171450</xdr:colOff>
      <xdr:row>20</xdr:row>
      <xdr:rowOff>19050</xdr:rowOff>
    </xdr:from>
    <xdr:to>
      <xdr:col>9</xdr:col>
      <xdr:colOff>171450</xdr:colOff>
      <xdr:row>23</xdr:row>
      <xdr:rowOff>95250</xdr:rowOff>
    </xdr:to>
    <xdr:sp>
      <xdr:nvSpPr>
        <xdr:cNvPr id="63" name="Line 155"/>
        <xdr:cNvSpPr>
          <a:spLocks/>
        </xdr:cNvSpPr>
      </xdr:nvSpPr>
      <xdr:spPr>
        <a:xfrm>
          <a:off x="3086100" y="4648200"/>
          <a:ext cx="0" cy="7620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228600</xdr:colOff>
      <xdr:row>5</xdr:row>
      <xdr:rowOff>161925</xdr:rowOff>
    </xdr:from>
    <xdr:to>
      <xdr:col>11</xdr:col>
      <xdr:colOff>228600</xdr:colOff>
      <xdr:row>8</xdr:row>
      <xdr:rowOff>66675</xdr:rowOff>
    </xdr:to>
    <xdr:sp>
      <xdr:nvSpPr>
        <xdr:cNvPr id="64" name="Line 156"/>
        <xdr:cNvSpPr>
          <a:spLocks/>
        </xdr:cNvSpPr>
      </xdr:nvSpPr>
      <xdr:spPr>
        <a:xfrm>
          <a:off x="3790950" y="1362075"/>
          <a:ext cx="0" cy="5905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152400</xdr:colOff>
      <xdr:row>6</xdr:row>
      <xdr:rowOff>0</xdr:rowOff>
    </xdr:from>
    <xdr:to>
      <xdr:col>11</xdr:col>
      <xdr:colOff>238125</xdr:colOff>
      <xdr:row>6</xdr:row>
      <xdr:rowOff>0</xdr:rowOff>
    </xdr:to>
    <xdr:sp>
      <xdr:nvSpPr>
        <xdr:cNvPr id="65" name="Line 158"/>
        <xdr:cNvSpPr>
          <a:spLocks/>
        </xdr:cNvSpPr>
      </xdr:nvSpPr>
      <xdr:spPr>
        <a:xfrm>
          <a:off x="3067050" y="1428750"/>
          <a:ext cx="7334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14</xdr:col>
      <xdr:colOff>200025</xdr:colOff>
      <xdr:row>19</xdr:row>
      <xdr:rowOff>0</xdr:rowOff>
    </xdr:to>
    <xdr:sp>
      <xdr:nvSpPr>
        <xdr:cNvPr id="66" name="Line 159"/>
        <xdr:cNvSpPr>
          <a:spLocks/>
        </xdr:cNvSpPr>
      </xdr:nvSpPr>
      <xdr:spPr>
        <a:xfrm flipH="1">
          <a:off x="1295400" y="4400550"/>
          <a:ext cx="3438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180975</xdr:rowOff>
    </xdr:from>
    <xdr:to>
      <xdr:col>5</xdr:col>
      <xdr:colOff>0</xdr:colOff>
      <xdr:row>19</xdr:row>
      <xdr:rowOff>9525</xdr:rowOff>
    </xdr:to>
    <xdr:sp>
      <xdr:nvSpPr>
        <xdr:cNvPr id="67" name="Line 161"/>
        <xdr:cNvSpPr>
          <a:spLocks/>
        </xdr:cNvSpPr>
      </xdr:nvSpPr>
      <xdr:spPr>
        <a:xfrm>
          <a:off x="1619250" y="2524125"/>
          <a:ext cx="0" cy="18859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200025</xdr:colOff>
      <xdr:row>18</xdr:row>
      <xdr:rowOff>190500</xdr:rowOff>
    </xdr:from>
    <xdr:to>
      <xdr:col>19</xdr:col>
      <xdr:colOff>38100</xdr:colOff>
      <xdr:row>19</xdr:row>
      <xdr:rowOff>0</xdr:rowOff>
    </xdr:to>
    <xdr:grpSp>
      <xdr:nvGrpSpPr>
        <xdr:cNvPr id="68" name="Group 169"/>
        <xdr:cNvGrpSpPr>
          <a:grpSpLocks/>
        </xdr:cNvGrpSpPr>
      </xdr:nvGrpSpPr>
      <xdr:grpSpPr>
        <a:xfrm>
          <a:off x="5705475" y="4362450"/>
          <a:ext cx="485775" cy="38100"/>
          <a:chOff x="-3853" y="-401564"/>
          <a:chExt cx="20553" cy="33"/>
        </a:xfrm>
        <a:solidFill>
          <a:srgbClr val="FFFFFF"/>
        </a:solidFill>
      </xdr:grpSpPr>
      <xdr:sp>
        <xdr:nvSpPr>
          <xdr:cNvPr id="69" name="Rectangle 170"/>
          <xdr:cNvSpPr>
            <a:spLocks/>
          </xdr:cNvSpPr>
        </xdr:nvSpPr>
        <xdr:spPr>
          <a:xfrm>
            <a:off x="668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Rectangle 171"/>
          <xdr:cNvSpPr>
            <a:spLocks/>
          </xdr:cNvSpPr>
        </xdr:nvSpPr>
        <xdr:spPr>
          <a:xfrm>
            <a:off x="-3853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18</xdr:row>
      <xdr:rowOff>190500</xdr:rowOff>
    </xdr:from>
    <xdr:to>
      <xdr:col>11</xdr:col>
      <xdr:colOff>152400</xdr:colOff>
      <xdr:row>19</xdr:row>
      <xdr:rowOff>0</xdr:rowOff>
    </xdr:to>
    <xdr:grpSp>
      <xdr:nvGrpSpPr>
        <xdr:cNvPr id="71" name="Group 172"/>
        <xdr:cNvGrpSpPr>
          <a:grpSpLocks/>
        </xdr:cNvGrpSpPr>
      </xdr:nvGrpSpPr>
      <xdr:grpSpPr>
        <a:xfrm>
          <a:off x="3238500" y="4362450"/>
          <a:ext cx="476250" cy="38100"/>
          <a:chOff x="-1803" y="-401564"/>
          <a:chExt cx="11466" cy="33"/>
        </a:xfrm>
        <a:solidFill>
          <a:srgbClr val="FFFFFF"/>
        </a:solidFill>
      </xdr:grpSpPr>
      <xdr:sp>
        <xdr:nvSpPr>
          <xdr:cNvPr id="72" name="Rectangle 173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Rectangle 174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18</xdr:row>
      <xdr:rowOff>190500</xdr:rowOff>
    </xdr:from>
    <xdr:to>
      <xdr:col>13</xdr:col>
      <xdr:colOff>9525</xdr:colOff>
      <xdr:row>19</xdr:row>
      <xdr:rowOff>0</xdr:rowOff>
    </xdr:to>
    <xdr:grpSp>
      <xdr:nvGrpSpPr>
        <xdr:cNvPr id="74" name="Group 175"/>
        <xdr:cNvGrpSpPr>
          <a:grpSpLocks/>
        </xdr:cNvGrpSpPr>
      </xdr:nvGrpSpPr>
      <xdr:grpSpPr>
        <a:xfrm>
          <a:off x="3705225" y="4362450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75" name="Rectangle 176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Rectangle 177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9525</xdr:colOff>
      <xdr:row>18</xdr:row>
      <xdr:rowOff>190500</xdr:rowOff>
    </xdr:from>
    <xdr:to>
      <xdr:col>14</xdr:col>
      <xdr:colOff>171450</xdr:colOff>
      <xdr:row>19</xdr:row>
      <xdr:rowOff>0</xdr:rowOff>
    </xdr:to>
    <xdr:grpSp>
      <xdr:nvGrpSpPr>
        <xdr:cNvPr id="77" name="Group 178"/>
        <xdr:cNvGrpSpPr>
          <a:grpSpLocks/>
        </xdr:cNvGrpSpPr>
      </xdr:nvGrpSpPr>
      <xdr:grpSpPr>
        <a:xfrm>
          <a:off x="4219575" y="4362450"/>
          <a:ext cx="485775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78" name="Rectangle 179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Rectangle 180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18</xdr:row>
      <xdr:rowOff>190500</xdr:rowOff>
    </xdr:from>
    <xdr:to>
      <xdr:col>16</xdr:col>
      <xdr:colOff>28575</xdr:colOff>
      <xdr:row>19</xdr:row>
      <xdr:rowOff>0</xdr:rowOff>
    </xdr:to>
    <xdr:grpSp>
      <xdr:nvGrpSpPr>
        <xdr:cNvPr id="80" name="Group 181"/>
        <xdr:cNvGrpSpPr>
          <a:grpSpLocks/>
        </xdr:cNvGrpSpPr>
      </xdr:nvGrpSpPr>
      <xdr:grpSpPr>
        <a:xfrm>
          <a:off x="4705350" y="4362450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81" name="Rectangle 182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Rectangle 183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13</xdr:row>
      <xdr:rowOff>142875</xdr:rowOff>
    </xdr:from>
    <xdr:to>
      <xdr:col>15</xdr:col>
      <xdr:colOff>152400</xdr:colOff>
      <xdr:row>13</xdr:row>
      <xdr:rowOff>171450</xdr:rowOff>
    </xdr:to>
    <xdr:sp>
      <xdr:nvSpPr>
        <xdr:cNvPr id="83" name="Rectangle 184"/>
        <xdr:cNvSpPr>
          <a:spLocks/>
        </xdr:cNvSpPr>
      </xdr:nvSpPr>
      <xdr:spPr>
        <a:xfrm>
          <a:off x="4543425" y="3171825"/>
          <a:ext cx="46672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228600</xdr:colOff>
      <xdr:row>9</xdr:row>
      <xdr:rowOff>114300</xdr:rowOff>
    </xdr:from>
    <xdr:to>
      <xdr:col>14</xdr:col>
      <xdr:colOff>266700</xdr:colOff>
      <xdr:row>13</xdr:row>
      <xdr:rowOff>142875</xdr:rowOff>
    </xdr:to>
    <xdr:sp>
      <xdr:nvSpPr>
        <xdr:cNvPr id="84" name="Rectangle 185"/>
        <xdr:cNvSpPr>
          <a:spLocks/>
        </xdr:cNvSpPr>
      </xdr:nvSpPr>
      <xdr:spPr>
        <a:xfrm>
          <a:off x="4762500" y="2228850"/>
          <a:ext cx="381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85725</xdr:rowOff>
    </xdr:from>
    <xdr:to>
      <xdr:col>15</xdr:col>
      <xdr:colOff>152400</xdr:colOff>
      <xdr:row>9</xdr:row>
      <xdr:rowOff>114300</xdr:rowOff>
    </xdr:to>
    <xdr:sp>
      <xdr:nvSpPr>
        <xdr:cNvPr id="85" name="Rectangle 186"/>
        <xdr:cNvSpPr>
          <a:spLocks/>
        </xdr:cNvSpPr>
      </xdr:nvSpPr>
      <xdr:spPr>
        <a:xfrm>
          <a:off x="4533900" y="2200275"/>
          <a:ext cx="4762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19</xdr:row>
      <xdr:rowOff>219075</xdr:rowOff>
    </xdr:from>
    <xdr:to>
      <xdr:col>12</xdr:col>
      <xdr:colOff>285750</xdr:colOff>
      <xdr:row>22</xdr:row>
      <xdr:rowOff>47625</xdr:rowOff>
    </xdr:to>
    <xdr:sp>
      <xdr:nvSpPr>
        <xdr:cNvPr id="86" name="Line 191"/>
        <xdr:cNvSpPr>
          <a:spLocks/>
        </xdr:cNvSpPr>
      </xdr:nvSpPr>
      <xdr:spPr>
        <a:xfrm>
          <a:off x="4171950" y="4619625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180975</xdr:colOff>
      <xdr:row>22</xdr:row>
      <xdr:rowOff>0</xdr:rowOff>
    </xdr:from>
    <xdr:to>
      <xdr:col>12</xdr:col>
      <xdr:colOff>276225</xdr:colOff>
      <xdr:row>22</xdr:row>
      <xdr:rowOff>0</xdr:rowOff>
    </xdr:to>
    <xdr:sp>
      <xdr:nvSpPr>
        <xdr:cNvPr id="87" name="Line 192"/>
        <xdr:cNvSpPr>
          <a:spLocks/>
        </xdr:cNvSpPr>
      </xdr:nvSpPr>
      <xdr:spPr>
        <a:xfrm>
          <a:off x="3095625" y="5086350"/>
          <a:ext cx="106680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200025</xdr:colOff>
      <xdr:row>8</xdr:row>
      <xdr:rowOff>114300</xdr:rowOff>
    </xdr:from>
    <xdr:to>
      <xdr:col>11</xdr:col>
      <xdr:colOff>133350</xdr:colOff>
      <xdr:row>8</xdr:row>
      <xdr:rowOff>114300</xdr:rowOff>
    </xdr:to>
    <xdr:sp>
      <xdr:nvSpPr>
        <xdr:cNvPr id="88" name="Line 198"/>
        <xdr:cNvSpPr>
          <a:spLocks/>
        </xdr:cNvSpPr>
      </xdr:nvSpPr>
      <xdr:spPr>
        <a:xfrm flipH="1">
          <a:off x="1171575" y="2000250"/>
          <a:ext cx="25241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161925</xdr:rowOff>
    </xdr:from>
    <xdr:to>
      <xdr:col>13</xdr:col>
      <xdr:colOff>247650</xdr:colOff>
      <xdr:row>13</xdr:row>
      <xdr:rowOff>161925</xdr:rowOff>
    </xdr:to>
    <xdr:sp>
      <xdr:nvSpPr>
        <xdr:cNvPr id="89" name="Line 199"/>
        <xdr:cNvSpPr>
          <a:spLocks/>
        </xdr:cNvSpPr>
      </xdr:nvSpPr>
      <xdr:spPr>
        <a:xfrm flipH="1">
          <a:off x="1295400" y="3190875"/>
          <a:ext cx="3162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114300</xdr:rowOff>
    </xdr:from>
    <xdr:to>
      <xdr:col>4</xdr:col>
      <xdr:colOff>0</xdr:colOff>
      <xdr:row>13</xdr:row>
      <xdr:rowOff>161925</xdr:rowOff>
    </xdr:to>
    <xdr:sp>
      <xdr:nvSpPr>
        <xdr:cNvPr id="90" name="Line 201"/>
        <xdr:cNvSpPr>
          <a:spLocks/>
        </xdr:cNvSpPr>
      </xdr:nvSpPr>
      <xdr:spPr>
        <a:xfrm>
          <a:off x="1295400" y="2000250"/>
          <a:ext cx="0" cy="11906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161925</xdr:rowOff>
    </xdr:from>
    <xdr:to>
      <xdr:col>4</xdr:col>
      <xdr:colOff>0</xdr:colOff>
      <xdr:row>19</xdr:row>
      <xdr:rowOff>0</xdr:rowOff>
    </xdr:to>
    <xdr:sp>
      <xdr:nvSpPr>
        <xdr:cNvPr id="91" name="Line 202"/>
        <xdr:cNvSpPr>
          <a:spLocks/>
        </xdr:cNvSpPr>
      </xdr:nvSpPr>
      <xdr:spPr>
        <a:xfrm>
          <a:off x="1295400" y="3190875"/>
          <a:ext cx="0" cy="12096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314325</xdr:colOff>
      <xdr:row>13</xdr:row>
      <xdr:rowOff>0</xdr:rowOff>
    </xdr:from>
    <xdr:to>
      <xdr:col>16</xdr:col>
      <xdr:colOff>314325</xdr:colOff>
      <xdr:row>16</xdr:row>
      <xdr:rowOff>0</xdr:rowOff>
    </xdr:to>
    <xdr:sp>
      <xdr:nvSpPr>
        <xdr:cNvPr id="92" name="Line 203"/>
        <xdr:cNvSpPr>
          <a:spLocks/>
        </xdr:cNvSpPr>
      </xdr:nvSpPr>
      <xdr:spPr>
        <a:xfrm flipH="1" flipV="1">
          <a:off x="4200525" y="3028950"/>
          <a:ext cx="1295400" cy="685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295275</xdr:colOff>
      <xdr:row>14</xdr:row>
      <xdr:rowOff>142875</xdr:rowOff>
    </xdr:from>
    <xdr:to>
      <xdr:col>10</xdr:col>
      <xdr:colOff>9525</xdr:colOff>
      <xdr:row>18</xdr:row>
      <xdr:rowOff>190500</xdr:rowOff>
    </xdr:to>
    <xdr:sp>
      <xdr:nvSpPr>
        <xdr:cNvPr id="93" name="Rectangle 210"/>
        <xdr:cNvSpPr>
          <a:spLocks/>
        </xdr:cNvSpPr>
      </xdr:nvSpPr>
      <xdr:spPr>
        <a:xfrm>
          <a:off x="3209925" y="3400425"/>
          <a:ext cx="381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16</xdr:row>
      <xdr:rowOff>152400</xdr:rowOff>
    </xdr:from>
    <xdr:to>
      <xdr:col>9</xdr:col>
      <xdr:colOff>295275</xdr:colOff>
      <xdr:row>17</xdr:row>
      <xdr:rowOff>0</xdr:rowOff>
    </xdr:to>
    <xdr:sp>
      <xdr:nvSpPr>
        <xdr:cNvPr id="94" name="Oval 217"/>
        <xdr:cNvSpPr>
          <a:spLocks/>
        </xdr:cNvSpPr>
      </xdr:nvSpPr>
      <xdr:spPr>
        <a:xfrm flipH="1">
          <a:off x="3114675" y="386715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12</xdr:row>
      <xdr:rowOff>152400</xdr:rowOff>
    </xdr:from>
    <xdr:to>
      <xdr:col>9</xdr:col>
      <xdr:colOff>295275</xdr:colOff>
      <xdr:row>13</xdr:row>
      <xdr:rowOff>0</xdr:rowOff>
    </xdr:to>
    <xdr:sp>
      <xdr:nvSpPr>
        <xdr:cNvPr id="95" name="Oval 218"/>
        <xdr:cNvSpPr>
          <a:spLocks/>
        </xdr:cNvSpPr>
      </xdr:nvSpPr>
      <xdr:spPr>
        <a:xfrm flipH="1">
          <a:off x="3114675" y="295275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171450</xdr:rowOff>
    </xdr:from>
    <xdr:to>
      <xdr:col>9</xdr:col>
      <xdr:colOff>123825</xdr:colOff>
      <xdr:row>14</xdr:row>
      <xdr:rowOff>190500</xdr:rowOff>
    </xdr:to>
    <xdr:sp>
      <xdr:nvSpPr>
        <xdr:cNvPr id="96" name="AutoShape 219"/>
        <xdr:cNvSpPr>
          <a:spLocks/>
        </xdr:cNvSpPr>
      </xdr:nvSpPr>
      <xdr:spPr>
        <a:xfrm>
          <a:off x="2876550" y="2514600"/>
          <a:ext cx="161925" cy="933450"/>
        </a:xfrm>
        <a:custGeom>
          <a:pathLst>
            <a:path h="60" w="10">
              <a:moveTo>
                <a:pt x="10" y="0"/>
              </a:moveTo>
              <a:cubicBezTo>
                <a:pt x="5" y="11"/>
                <a:pt x="0" y="23"/>
                <a:pt x="0" y="33"/>
              </a:cubicBezTo>
              <a:cubicBezTo>
                <a:pt x="0" y="43"/>
                <a:pt x="8" y="55"/>
                <a:pt x="10" y="6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97" name="Line 221"/>
        <xdr:cNvSpPr>
          <a:spLocks/>
        </xdr:cNvSpPr>
      </xdr:nvSpPr>
      <xdr:spPr>
        <a:xfrm flipH="1">
          <a:off x="1619250" y="1657350"/>
          <a:ext cx="971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0</xdr:rowOff>
    </xdr:from>
    <xdr:to>
      <xdr:col>9</xdr:col>
      <xdr:colOff>104775</xdr:colOff>
      <xdr:row>10</xdr:row>
      <xdr:rowOff>142875</xdr:rowOff>
    </xdr:to>
    <xdr:sp>
      <xdr:nvSpPr>
        <xdr:cNvPr id="98" name="Line 222"/>
        <xdr:cNvSpPr>
          <a:spLocks/>
        </xdr:cNvSpPr>
      </xdr:nvSpPr>
      <xdr:spPr>
        <a:xfrm>
          <a:off x="2600325" y="1657350"/>
          <a:ext cx="419100" cy="8286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180975</xdr:rowOff>
    </xdr:from>
    <xdr:to>
      <xdr:col>9</xdr:col>
      <xdr:colOff>0</xdr:colOff>
      <xdr:row>10</xdr:row>
      <xdr:rowOff>180975</xdr:rowOff>
    </xdr:to>
    <xdr:sp>
      <xdr:nvSpPr>
        <xdr:cNvPr id="99" name="Line 229"/>
        <xdr:cNvSpPr>
          <a:spLocks/>
        </xdr:cNvSpPr>
      </xdr:nvSpPr>
      <xdr:spPr>
        <a:xfrm flipH="1">
          <a:off x="1619250" y="2524125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247650</xdr:colOff>
      <xdr:row>8</xdr:row>
      <xdr:rowOff>114300</xdr:rowOff>
    </xdr:from>
    <xdr:to>
      <xdr:col>11</xdr:col>
      <xdr:colOff>228600</xdr:colOff>
      <xdr:row>14</xdr:row>
      <xdr:rowOff>171450</xdr:rowOff>
    </xdr:to>
    <xdr:sp>
      <xdr:nvSpPr>
        <xdr:cNvPr id="100" name="Line 231"/>
        <xdr:cNvSpPr>
          <a:spLocks/>
        </xdr:cNvSpPr>
      </xdr:nvSpPr>
      <xdr:spPr>
        <a:xfrm flipH="1">
          <a:off x="3162300" y="2000250"/>
          <a:ext cx="628650" cy="14287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314325</xdr:colOff>
      <xdr:row>17</xdr:row>
      <xdr:rowOff>0</xdr:rowOff>
    </xdr:from>
    <xdr:to>
      <xdr:col>26</xdr:col>
      <xdr:colOff>9525</xdr:colOff>
      <xdr:row>17</xdr:row>
      <xdr:rowOff>0</xdr:rowOff>
    </xdr:to>
    <xdr:sp>
      <xdr:nvSpPr>
        <xdr:cNvPr id="101" name="Line 232"/>
        <xdr:cNvSpPr>
          <a:spLocks/>
        </xdr:cNvSpPr>
      </xdr:nvSpPr>
      <xdr:spPr>
        <a:xfrm flipH="1">
          <a:off x="5495925" y="3943350"/>
          <a:ext cx="2933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200025</xdr:colOff>
      <xdr:row>12</xdr:row>
      <xdr:rowOff>19050</xdr:rowOff>
    </xdr:from>
    <xdr:to>
      <xdr:col>16</xdr:col>
      <xdr:colOff>314325</xdr:colOff>
      <xdr:row>17</xdr:row>
      <xdr:rowOff>0</xdr:rowOff>
    </xdr:to>
    <xdr:sp>
      <xdr:nvSpPr>
        <xdr:cNvPr id="102" name="Line 233"/>
        <xdr:cNvSpPr>
          <a:spLocks/>
        </xdr:cNvSpPr>
      </xdr:nvSpPr>
      <xdr:spPr>
        <a:xfrm flipH="1" flipV="1">
          <a:off x="3438525" y="2819400"/>
          <a:ext cx="2057400" cy="11239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14</xdr:row>
      <xdr:rowOff>152400</xdr:rowOff>
    </xdr:from>
    <xdr:to>
      <xdr:col>9</xdr:col>
      <xdr:colOff>295275</xdr:colOff>
      <xdr:row>15</xdr:row>
      <xdr:rowOff>0</xdr:rowOff>
    </xdr:to>
    <xdr:sp>
      <xdr:nvSpPr>
        <xdr:cNvPr id="103" name="Oval 245"/>
        <xdr:cNvSpPr>
          <a:spLocks/>
        </xdr:cNvSpPr>
      </xdr:nvSpPr>
      <xdr:spPr>
        <a:xfrm flipH="1">
          <a:off x="3114675" y="340995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200025</xdr:colOff>
      <xdr:row>10</xdr:row>
      <xdr:rowOff>152400</xdr:rowOff>
    </xdr:from>
    <xdr:to>
      <xdr:col>9</xdr:col>
      <xdr:colOff>295275</xdr:colOff>
      <xdr:row>11</xdr:row>
      <xdr:rowOff>0</xdr:rowOff>
    </xdr:to>
    <xdr:sp>
      <xdr:nvSpPr>
        <xdr:cNvPr id="104" name="Oval 246"/>
        <xdr:cNvSpPr>
          <a:spLocks/>
        </xdr:cNvSpPr>
      </xdr:nvSpPr>
      <xdr:spPr>
        <a:xfrm flipH="1">
          <a:off x="3114675" y="249555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285750</xdr:colOff>
      <xdr:row>14</xdr:row>
      <xdr:rowOff>200025</xdr:rowOff>
    </xdr:from>
    <xdr:to>
      <xdr:col>9</xdr:col>
      <xdr:colOff>123825</xdr:colOff>
      <xdr:row>18</xdr:row>
      <xdr:rowOff>219075</xdr:rowOff>
    </xdr:to>
    <xdr:sp>
      <xdr:nvSpPr>
        <xdr:cNvPr id="105" name="AutoShape 247"/>
        <xdr:cNvSpPr>
          <a:spLocks/>
        </xdr:cNvSpPr>
      </xdr:nvSpPr>
      <xdr:spPr>
        <a:xfrm>
          <a:off x="2876550" y="3457575"/>
          <a:ext cx="161925" cy="933450"/>
        </a:xfrm>
        <a:custGeom>
          <a:pathLst>
            <a:path h="60" w="10">
              <a:moveTo>
                <a:pt x="10" y="0"/>
              </a:moveTo>
              <a:cubicBezTo>
                <a:pt x="5" y="11"/>
                <a:pt x="0" y="23"/>
                <a:pt x="0" y="33"/>
              </a:cubicBezTo>
              <a:cubicBezTo>
                <a:pt x="0" y="43"/>
                <a:pt x="8" y="55"/>
                <a:pt x="10" y="6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190500</xdr:rowOff>
    </xdr:from>
    <xdr:to>
      <xdr:col>8</xdr:col>
      <xdr:colOff>180975</xdr:colOff>
      <xdr:row>14</xdr:row>
      <xdr:rowOff>190500</xdr:rowOff>
    </xdr:to>
    <xdr:sp>
      <xdr:nvSpPr>
        <xdr:cNvPr id="106" name="Line 251"/>
        <xdr:cNvSpPr>
          <a:spLocks/>
        </xdr:cNvSpPr>
      </xdr:nvSpPr>
      <xdr:spPr>
        <a:xfrm flipH="1">
          <a:off x="1943100" y="3448050"/>
          <a:ext cx="8286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190500</xdr:rowOff>
    </xdr:from>
    <xdr:to>
      <xdr:col>6</xdr:col>
      <xdr:colOff>0</xdr:colOff>
      <xdr:row>19</xdr:row>
      <xdr:rowOff>0</xdr:rowOff>
    </xdr:to>
    <xdr:sp>
      <xdr:nvSpPr>
        <xdr:cNvPr id="107" name="Line 252"/>
        <xdr:cNvSpPr>
          <a:spLocks/>
        </xdr:cNvSpPr>
      </xdr:nvSpPr>
      <xdr:spPr>
        <a:xfrm>
          <a:off x="1943100" y="3448050"/>
          <a:ext cx="0" cy="9525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180975</xdr:rowOff>
    </xdr:from>
    <xdr:to>
      <xdr:col>6</xdr:col>
      <xdr:colOff>0</xdr:colOff>
      <xdr:row>14</xdr:row>
      <xdr:rowOff>180975</xdr:rowOff>
    </xdr:to>
    <xdr:sp>
      <xdr:nvSpPr>
        <xdr:cNvPr id="108" name="Line 253"/>
        <xdr:cNvSpPr>
          <a:spLocks/>
        </xdr:cNvSpPr>
      </xdr:nvSpPr>
      <xdr:spPr>
        <a:xfrm>
          <a:off x="1943100" y="2524125"/>
          <a:ext cx="0" cy="9144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285750</xdr:colOff>
      <xdr:row>7</xdr:row>
      <xdr:rowOff>180975</xdr:rowOff>
    </xdr:from>
    <xdr:to>
      <xdr:col>12</xdr:col>
      <xdr:colOff>266700</xdr:colOff>
      <xdr:row>8</xdr:row>
      <xdr:rowOff>142875</xdr:rowOff>
    </xdr:to>
    <xdr:sp>
      <xdr:nvSpPr>
        <xdr:cNvPr id="109" name="AutoShape 257"/>
        <xdr:cNvSpPr>
          <a:spLocks/>
        </xdr:cNvSpPr>
      </xdr:nvSpPr>
      <xdr:spPr>
        <a:xfrm>
          <a:off x="3848100" y="1838325"/>
          <a:ext cx="304800" cy="190500"/>
        </a:xfrm>
        <a:custGeom>
          <a:pathLst>
            <a:path h="20" w="25">
              <a:moveTo>
                <a:pt x="0" y="20"/>
              </a:moveTo>
              <a:lnTo>
                <a:pt x="0" y="0"/>
              </a:lnTo>
              <a:lnTo>
                <a:pt x="25" y="0"/>
              </a:lnTo>
              <a:lnTo>
                <a:pt x="25" y="1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200025</xdr:colOff>
      <xdr:row>8</xdr:row>
      <xdr:rowOff>85725</xdr:rowOff>
    </xdr:from>
    <xdr:to>
      <xdr:col>11</xdr:col>
      <xdr:colOff>276225</xdr:colOff>
      <xdr:row>8</xdr:row>
      <xdr:rowOff>142875</xdr:rowOff>
    </xdr:to>
    <xdr:sp>
      <xdr:nvSpPr>
        <xdr:cNvPr id="110" name="Oval 258"/>
        <xdr:cNvSpPr>
          <a:spLocks/>
        </xdr:cNvSpPr>
      </xdr:nvSpPr>
      <xdr:spPr>
        <a:xfrm>
          <a:off x="3762375" y="1971675"/>
          <a:ext cx="76200" cy="57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171450</xdr:colOff>
      <xdr:row>5</xdr:row>
      <xdr:rowOff>180975</xdr:rowOff>
    </xdr:from>
    <xdr:to>
      <xdr:col>9</xdr:col>
      <xdr:colOff>171450</xdr:colOff>
      <xdr:row>10</xdr:row>
      <xdr:rowOff>9525</xdr:rowOff>
    </xdr:to>
    <xdr:sp>
      <xdr:nvSpPr>
        <xdr:cNvPr id="111" name="Line 259"/>
        <xdr:cNvSpPr>
          <a:spLocks/>
        </xdr:cNvSpPr>
      </xdr:nvSpPr>
      <xdr:spPr>
        <a:xfrm>
          <a:off x="3086100" y="1381125"/>
          <a:ext cx="0" cy="9715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</xdr:rowOff>
    </xdr:from>
    <xdr:to>
      <xdr:col>14</xdr:col>
      <xdr:colOff>0</xdr:colOff>
      <xdr:row>23</xdr:row>
      <xdr:rowOff>95250</xdr:rowOff>
    </xdr:to>
    <xdr:sp>
      <xdr:nvSpPr>
        <xdr:cNvPr id="112" name="Line 262"/>
        <xdr:cNvSpPr>
          <a:spLocks/>
        </xdr:cNvSpPr>
      </xdr:nvSpPr>
      <xdr:spPr>
        <a:xfrm>
          <a:off x="4533900" y="4648200"/>
          <a:ext cx="0" cy="7620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180975</xdr:colOff>
      <xdr:row>23</xdr:row>
      <xdr:rowOff>0</xdr:rowOff>
    </xdr:from>
    <xdr:to>
      <xdr:col>13</xdr:col>
      <xdr:colOff>314325</xdr:colOff>
      <xdr:row>23</xdr:row>
      <xdr:rowOff>0</xdr:rowOff>
    </xdr:to>
    <xdr:sp>
      <xdr:nvSpPr>
        <xdr:cNvPr id="113" name="Line 263"/>
        <xdr:cNvSpPr>
          <a:spLocks/>
        </xdr:cNvSpPr>
      </xdr:nvSpPr>
      <xdr:spPr>
        <a:xfrm>
          <a:off x="3095625" y="5314950"/>
          <a:ext cx="14287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10</xdr:row>
      <xdr:rowOff>0</xdr:rowOff>
    </xdr:from>
    <xdr:to>
      <xdr:col>24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7791450" y="23622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24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819900" y="2362200"/>
          <a:ext cx="9715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6819900" y="37338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133350</xdr:colOff>
      <xdr:row>53</xdr:row>
      <xdr:rowOff>85725</xdr:rowOff>
    </xdr:from>
    <xdr:to>
      <xdr:col>10</xdr:col>
      <xdr:colOff>200025</xdr:colOff>
      <xdr:row>62</xdr:row>
      <xdr:rowOff>209550</xdr:rowOff>
    </xdr:to>
    <xdr:sp>
      <xdr:nvSpPr>
        <xdr:cNvPr id="4" name="Rectangle 83"/>
        <xdr:cNvSpPr>
          <a:spLocks/>
        </xdr:cNvSpPr>
      </xdr:nvSpPr>
      <xdr:spPr>
        <a:xfrm>
          <a:off x="3390900" y="12277725"/>
          <a:ext cx="7620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</xdr:colOff>
      <xdr:row>61</xdr:row>
      <xdr:rowOff>219075</xdr:rowOff>
    </xdr:from>
    <xdr:to>
      <xdr:col>19</xdr:col>
      <xdr:colOff>133350</xdr:colOff>
      <xdr:row>61</xdr:row>
      <xdr:rowOff>219075</xdr:rowOff>
    </xdr:to>
    <xdr:sp>
      <xdr:nvSpPr>
        <xdr:cNvPr id="5" name="Line 86"/>
        <xdr:cNvSpPr>
          <a:spLocks/>
        </xdr:cNvSpPr>
      </xdr:nvSpPr>
      <xdr:spPr>
        <a:xfrm>
          <a:off x="3305175" y="14239875"/>
          <a:ext cx="300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</xdr:colOff>
      <xdr:row>62</xdr:row>
      <xdr:rowOff>47625</xdr:rowOff>
    </xdr:from>
    <xdr:to>
      <xdr:col>20</xdr:col>
      <xdr:colOff>152400</xdr:colOff>
      <xdr:row>62</xdr:row>
      <xdr:rowOff>47625</xdr:rowOff>
    </xdr:to>
    <xdr:sp>
      <xdr:nvSpPr>
        <xdr:cNvPr id="6" name="Line 87"/>
        <xdr:cNvSpPr>
          <a:spLocks/>
        </xdr:cNvSpPr>
      </xdr:nvSpPr>
      <xdr:spPr>
        <a:xfrm flipV="1">
          <a:off x="3305175" y="14297025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</xdr:colOff>
      <xdr:row>61</xdr:row>
      <xdr:rowOff>219075</xdr:rowOff>
    </xdr:from>
    <xdr:to>
      <xdr:col>10</xdr:col>
      <xdr:colOff>47625</xdr:colOff>
      <xdr:row>62</xdr:row>
      <xdr:rowOff>47625</xdr:rowOff>
    </xdr:to>
    <xdr:sp>
      <xdr:nvSpPr>
        <xdr:cNvPr id="7" name="Line 88"/>
        <xdr:cNvSpPr>
          <a:spLocks/>
        </xdr:cNvSpPr>
      </xdr:nvSpPr>
      <xdr:spPr>
        <a:xfrm>
          <a:off x="3305175" y="142398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61</xdr:row>
      <xdr:rowOff>142875</xdr:rowOff>
    </xdr:from>
    <xdr:to>
      <xdr:col>10</xdr:col>
      <xdr:colOff>285750</xdr:colOff>
      <xdr:row>61</xdr:row>
      <xdr:rowOff>219075</xdr:rowOff>
    </xdr:to>
    <xdr:sp>
      <xdr:nvSpPr>
        <xdr:cNvPr id="8" name="Oval 89"/>
        <xdr:cNvSpPr>
          <a:spLocks/>
        </xdr:cNvSpPr>
      </xdr:nvSpPr>
      <xdr:spPr>
        <a:xfrm flipH="1">
          <a:off x="3448050" y="141636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295275</xdr:colOff>
      <xdr:row>51</xdr:row>
      <xdr:rowOff>190500</xdr:rowOff>
    </xdr:from>
    <xdr:to>
      <xdr:col>15</xdr:col>
      <xdr:colOff>9525</xdr:colOff>
      <xdr:row>52</xdr:row>
      <xdr:rowOff>104775</xdr:rowOff>
    </xdr:to>
    <xdr:sp>
      <xdr:nvSpPr>
        <xdr:cNvPr id="9" name="Line 91"/>
        <xdr:cNvSpPr>
          <a:spLocks/>
        </xdr:cNvSpPr>
      </xdr:nvSpPr>
      <xdr:spPr>
        <a:xfrm>
          <a:off x="4200525" y="11925300"/>
          <a:ext cx="6858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52</xdr:row>
      <xdr:rowOff>28575</xdr:rowOff>
    </xdr:from>
    <xdr:to>
      <xdr:col>17</xdr:col>
      <xdr:colOff>142875</xdr:colOff>
      <xdr:row>52</xdr:row>
      <xdr:rowOff>104775</xdr:rowOff>
    </xdr:to>
    <xdr:sp>
      <xdr:nvSpPr>
        <xdr:cNvPr id="10" name="Line 92"/>
        <xdr:cNvSpPr>
          <a:spLocks/>
        </xdr:cNvSpPr>
      </xdr:nvSpPr>
      <xdr:spPr>
        <a:xfrm flipV="1">
          <a:off x="5381625" y="11991975"/>
          <a:ext cx="2857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133350</xdr:colOff>
      <xdr:row>52</xdr:row>
      <xdr:rowOff>28575</xdr:rowOff>
    </xdr:from>
    <xdr:to>
      <xdr:col>19</xdr:col>
      <xdr:colOff>0</xdr:colOff>
      <xdr:row>52</xdr:row>
      <xdr:rowOff>28575</xdr:rowOff>
    </xdr:to>
    <xdr:sp>
      <xdr:nvSpPr>
        <xdr:cNvPr id="11" name="Line 93"/>
        <xdr:cNvSpPr>
          <a:spLocks/>
        </xdr:cNvSpPr>
      </xdr:nvSpPr>
      <xdr:spPr>
        <a:xfrm>
          <a:off x="5657850" y="11991975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295275</xdr:colOff>
      <xdr:row>50</xdr:row>
      <xdr:rowOff>200025</xdr:rowOff>
    </xdr:from>
    <xdr:to>
      <xdr:col>12</xdr:col>
      <xdr:colOff>295275</xdr:colOff>
      <xdr:row>51</xdr:row>
      <xdr:rowOff>190500</xdr:rowOff>
    </xdr:to>
    <xdr:sp>
      <xdr:nvSpPr>
        <xdr:cNvPr id="12" name="Line 94"/>
        <xdr:cNvSpPr>
          <a:spLocks/>
        </xdr:cNvSpPr>
      </xdr:nvSpPr>
      <xdr:spPr>
        <a:xfrm flipV="1">
          <a:off x="4200525" y="117062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295275</xdr:colOff>
      <xdr:row>50</xdr:row>
      <xdr:rowOff>200025</xdr:rowOff>
    </xdr:from>
    <xdr:to>
      <xdr:col>13</xdr:col>
      <xdr:colOff>228600</xdr:colOff>
      <xdr:row>50</xdr:row>
      <xdr:rowOff>200025</xdr:rowOff>
    </xdr:to>
    <xdr:sp>
      <xdr:nvSpPr>
        <xdr:cNvPr id="13" name="Line 95"/>
        <xdr:cNvSpPr>
          <a:spLocks/>
        </xdr:cNvSpPr>
      </xdr:nvSpPr>
      <xdr:spPr>
        <a:xfrm>
          <a:off x="4200525" y="1170622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228600</xdr:colOff>
      <xdr:row>50</xdr:row>
      <xdr:rowOff>200025</xdr:rowOff>
    </xdr:from>
    <xdr:to>
      <xdr:col>13</xdr:col>
      <xdr:colOff>228600</xdr:colOff>
      <xdr:row>51</xdr:row>
      <xdr:rowOff>95250</xdr:rowOff>
    </xdr:to>
    <xdr:sp>
      <xdr:nvSpPr>
        <xdr:cNvPr id="14" name="Line 96"/>
        <xdr:cNvSpPr>
          <a:spLocks/>
        </xdr:cNvSpPr>
      </xdr:nvSpPr>
      <xdr:spPr>
        <a:xfrm>
          <a:off x="4457700" y="117062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228600</xdr:colOff>
      <xdr:row>51</xdr:row>
      <xdr:rowOff>104775</xdr:rowOff>
    </xdr:from>
    <xdr:to>
      <xdr:col>18</xdr:col>
      <xdr:colOff>295275</xdr:colOff>
      <xdr:row>51</xdr:row>
      <xdr:rowOff>104775</xdr:rowOff>
    </xdr:to>
    <xdr:sp>
      <xdr:nvSpPr>
        <xdr:cNvPr id="15" name="Line 97"/>
        <xdr:cNvSpPr>
          <a:spLocks/>
        </xdr:cNvSpPr>
      </xdr:nvSpPr>
      <xdr:spPr>
        <a:xfrm>
          <a:off x="4457700" y="11839575"/>
          <a:ext cx="168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238125</xdr:colOff>
      <xdr:row>62</xdr:row>
      <xdr:rowOff>9525</xdr:rowOff>
    </xdr:from>
    <xdr:to>
      <xdr:col>10</xdr:col>
      <xdr:colOff>238125</xdr:colOff>
      <xdr:row>66</xdr:row>
      <xdr:rowOff>0</xdr:rowOff>
    </xdr:to>
    <xdr:sp>
      <xdr:nvSpPr>
        <xdr:cNvPr id="16" name="Line 103"/>
        <xdr:cNvSpPr>
          <a:spLocks/>
        </xdr:cNvSpPr>
      </xdr:nvSpPr>
      <xdr:spPr>
        <a:xfrm>
          <a:off x="3495675" y="14258925"/>
          <a:ext cx="0" cy="9048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238125</xdr:colOff>
      <xdr:row>51</xdr:row>
      <xdr:rowOff>219075</xdr:rowOff>
    </xdr:from>
    <xdr:to>
      <xdr:col>12</xdr:col>
      <xdr:colOff>238125</xdr:colOff>
      <xdr:row>66</xdr:row>
      <xdr:rowOff>0</xdr:rowOff>
    </xdr:to>
    <xdr:sp>
      <xdr:nvSpPr>
        <xdr:cNvPr id="17" name="Line 104"/>
        <xdr:cNvSpPr>
          <a:spLocks/>
        </xdr:cNvSpPr>
      </xdr:nvSpPr>
      <xdr:spPr>
        <a:xfrm>
          <a:off x="4143375" y="11953875"/>
          <a:ext cx="0" cy="32099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238125</xdr:colOff>
      <xdr:row>65</xdr:row>
      <xdr:rowOff>219075</xdr:rowOff>
    </xdr:from>
    <xdr:to>
      <xdr:col>12</xdr:col>
      <xdr:colOff>228600</xdr:colOff>
      <xdr:row>65</xdr:row>
      <xdr:rowOff>219075</xdr:rowOff>
    </xdr:to>
    <xdr:sp>
      <xdr:nvSpPr>
        <xdr:cNvPr id="18" name="Line 105"/>
        <xdr:cNvSpPr>
          <a:spLocks/>
        </xdr:cNvSpPr>
      </xdr:nvSpPr>
      <xdr:spPr>
        <a:xfrm>
          <a:off x="3495675" y="15154275"/>
          <a:ext cx="6381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276225</xdr:colOff>
      <xdr:row>61</xdr:row>
      <xdr:rowOff>219075</xdr:rowOff>
    </xdr:from>
    <xdr:to>
      <xdr:col>15</xdr:col>
      <xdr:colOff>200025</xdr:colOff>
      <xdr:row>61</xdr:row>
      <xdr:rowOff>219075</xdr:rowOff>
    </xdr:to>
    <xdr:sp>
      <xdr:nvSpPr>
        <xdr:cNvPr id="19" name="Line 106"/>
        <xdr:cNvSpPr>
          <a:spLocks/>
        </xdr:cNvSpPr>
      </xdr:nvSpPr>
      <xdr:spPr>
        <a:xfrm flipH="1">
          <a:off x="1895475" y="14239875"/>
          <a:ext cx="31813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180975</xdr:rowOff>
    </xdr:from>
    <xdr:to>
      <xdr:col>6</xdr:col>
      <xdr:colOff>0</xdr:colOff>
      <xdr:row>62</xdr:row>
      <xdr:rowOff>9525</xdr:rowOff>
    </xdr:to>
    <xdr:sp>
      <xdr:nvSpPr>
        <xdr:cNvPr id="20" name="Line 107"/>
        <xdr:cNvSpPr>
          <a:spLocks/>
        </xdr:cNvSpPr>
      </xdr:nvSpPr>
      <xdr:spPr>
        <a:xfrm>
          <a:off x="1943100" y="12830175"/>
          <a:ext cx="0" cy="14287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180975</xdr:rowOff>
    </xdr:from>
    <xdr:to>
      <xdr:col>12</xdr:col>
      <xdr:colOff>152400</xdr:colOff>
      <xdr:row>61</xdr:row>
      <xdr:rowOff>219075</xdr:rowOff>
    </xdr:to>
    <xdr:grpSp>
      <xdr:nvGrpSpPr>
        <xdr:cNvPr id="21" name="Group 111"/>
        <xdr:cNvGrpSpPr>
          <a:grpSpLocks/>
        </xdr:cNvGrpSpPr>
      </xdr:nvGrpSpPr>
      <xdr:grpSpPr>
        <a:xfrm>
          <a:off x="3581400" y="14201775"/>
          <a:ext cx="476250" cy="38100"/>
          <a:chOff x="-1803" y="-401564"/>
          <a:chExt cx="11466" cy="33"/>
        </a:xfrm>
        <a:solidFill>
          <a:srgbClr val="FFFFFF"/>
        </a:solidFill>
      </xdr:grpSpPr>
      <xdr:sp>
        <xdr:nvSpPr>
          <xdr:cNvPr id="22" name="Rectangle 112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Rectangle 113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61</xdr:row>
      <xdr:rowOff>180975</xdr:rowOff>
    </xdr:from>
    <xdr:to>
      <xdr:col>14</xdr:col>
      <xdr:colOff>0</xdr:colOff>
      <xdr:row>61</xdr:row>
      <xdr:rowOff>219075</xdr:rowOff>
    </xdr:to>
    <xdr:grpSp>
      <xdr:nvGrpSpPr>
        <xdr:cNvPr id="24" name="Group 114"/>
        <xdr:cNvGrpSpPr>
          <a:grpSpLocks/>
        </xdr:cNvGrpSpPr>
      </xdr:nvGrpSpPr>
      <xdr:grpSpPr>
        <a:xfrm>
          <a:off x="4038600" y="14201775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25" name="Rectangle 115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Rectangle 116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61</xdr:row>
      <xdr:rowOff>180975</xdr:rowOff>
    </xdr:from>
    <xdr:to>
      <xdr:col>15</xdr:col>
      <xdr:colOff>152400</xdr:colOff>
      <xdr:row>61</xdr:row>
      <xdr:rowOff>219075</xdr:rowOff>
    </xdr:to>
    <xdr:grpSp>
      <xdr:nvGrpSpPr>
        <xdr:cNvPr id="27" name="Group 117"/>
        <xdr:cNvGrpSpPr>
          <a:grpSpLocks/>
        </xdr:cNvGrpSpPr>
      </xdr:nvGrpSpPr>
      <xdr:grpSpPr>
        <a:xfrm>
          <a:off x="4552950" y="14201775"/>
          <a:ext cx="476250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28" name="Rectangle 118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Rectangle 119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56</xdr:row>
      <xdr:rowOff>142875</xdr:rowOff>
    </xdr:from>
    <xdr:to>
      <xdr:col>16</xdr:col>
      <xdr:colOff>142875</xdr:colOff>
      <xdr:row>56</xdr:row>
      <xdr:rowOff>171450</xdr:rowOff>
    </xdr:to>
    <xdr:sp>
      <xdr:nvSpPr>
        <xdr:cNvPr id="30" name="Rectangle 123"/>
        <xdr:cNvSpPr>
          <a:spLocks/>
        </xdr:cNvSpPr>
      </xdr:nvSpPr>
      <xdr:spPr>
        <a:xfrm>
          <a:off x="4876800" y="13020675"/>
          <a:ext cx="46672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228600</xdr:colOff>
      <xdr:row>52</xdr:row>
      <xdr:rowOff>104775</xdr:rowOff>
    </xdr:from>
    <xdr:to>
      <xdr:col>15</xdr:col>
      <xdr:colOff>266700</xdr:colOff>
      <xdr:row>56</xdr:row>
      <xdr:rowOff>133350</xdr:rowOff>
    </xdr:to>
    <xdr:sp>
      <xdr:nvSpPr>
        <xdr:cNvPr id="31" name="Rectangle 124"/>
        <xdr:cNvSpPr>
          <a:spLocks/>
        </xdr:cNvSpPr>
      </xdr:nvSpPr>
      <xdr:spPr>
        <a:xfrm>
          <a:off x="5105400" y="12068175"/>
          <a:ext cx="381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85725</xdr:rowOff>
    </xdr:from>
    <xdr:to>
      <xdr:col>16</xdr:col>
      <xdr:colOff>152400</xdr:colOff>
      <xdr:row>52</xdr:row>
      <xdr:rowOff>114300</xdr:rowOff>
    </xdr:to>
    <xdr:sp>
      <xdr:nvSpPr>
        <xdr:cNvPr id="32" name="Rectangle 125"/>
        <xdr:cNvSpPr>
          <a:spLocks/>
        </xdr:cNvSpPr>
      </xdr:nvSpPr>
      <xdr:spPr>
        <a:xfrm>
          <a:off x="4876800" y="12049125"/>
          <a:ext cx="47625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104775</xdr:rowOff>
    </xdr:from>
    <xdr:to>
      <xdr:col>21</xdr:col>
      <xdr:colOff>0</xdr:colOff>
      <xdr:row>52</xdr:row>
      <xdr:rowOff>104775</xdr:rowOff>
    </xdr:to>
    <xdr:sp>
      <xdr:nvSpPr>
        <xdr:cNvPr id="33" name="Line 128"/>
        <xdr:cNvSpPr>
          <a:spLocks/>
        </xdr:cNvSpPr>
      </xdr:nvSpPr>
      <xdr:spPr>
        <a:xfrm flipH="1">
          <a:off x="5524500" y="12068175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57</xdr:row>
      <xdr:rowOff>142875</xdr:rowOff>
    </xdr:from>
    <xdr:to>
      <xdr:col>11</xdr:col>
      <xdr:colOff>0</xdr:colOff>
      <xdr:row>61</xdr:row>
      <xdr:rowOff>190500</xdr:rowOff>
    </xdr:to>
    <xdr:sp>
      <xdr:nvSpPr>
        <xdr:cNvPr id="34" name="Rectangle 133"/>
        <xdr:cNvSpPr>
          <a:spLocks/>
        </xdr:cNvSpPr>
      </xdr:nvSpPr>
      <xdr:spPr>
        <a:xfrm>
          <a:off x="3543300" y="13249275"/>
          <a:ext cx="381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59</xdr:row>
      <xdr:rowOff>142875</xdr:rowOff>
    </xdr:from>
    <xdr:to>
      <xdr:col>10</xdr:col>
      <xdr:colOff>285750</xdr:colOff>
      <xdr:row>59</xdr:row>
      <xdr:rowOff>219075</xdr:rowOff>
    </xdr:to>
    <xdr:sp>
      <xdr:nvSpPr>
        <xdr:cNvPr id="35" name="Oval 134"/>
        <xdr:cNvSpPr>
          <a:spLocks/>
        </xdr:cNvSpPr>
      </xdr:nvSpPr>
      <xdr:spPr>
        <a:xfrm flipH="1">
          <a:off x="3448050" y="137064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55</xdr:row>
      <xdr:rowOff>142875</xdr:rowOff>
    </xdr:from>
    <xdr:to>
      <xdr:col>10</xdr:col>
      <xdr:colOff>285750</xdr:colOff>
      <xdr:row>55</xdr:row>
      <xdr:rowOff>219075</xdr:rowOff>
    </xdr:to>
    <xdr:sp>
      <xdr:nvSpPr>
        <xdr:cNvPr id="36" name="Oval 135"/>
        <xdr:cNvSpPr>
          <a:spLocks/>
        </xdr:cNvSpPr>
      </xdr:nvSpPr>
      <xdr:spPr>
        <a:xfrm flipH="1">
          <a:off x="3448050" y="127920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53</xdr:row>
      <xdr:rowOff>161925</xdr:rowOff>
    </xdr:from>
    <xdr:to>
      <xdr:col>10</xdr:col>
      <xdr:colOff>104775</xdr:colOff>
      <xdr:row>57</xdr:row>
      <xdr:rowOff>180975</xdr:rowOff>
    </xdr:to>
    <xdr:sp>
      <xdr:nvSpPr>
        <xdr:cNvPr id="37" name="AutoShape 136"/>
        <xdr:cNvSpPr>
          <a:spLocks/>
        </xdr:cNvSpPr>
      </xdr:nvSpPr>
      <xdr:spPr>
        <a:xfrm>
          <a:off x="3209925" y="12353925"/>
          <a:ext cx="152400" cy="933450"/>
        </a:xfrm>
        <a:custGeom>
          <a:pathLst>
            <a:path h="60" w="10">
              <a:moveTo>
                <a:pt x="10" y="0"/>
              </a:moveTo>
              <a:cubicBezTo>
                <a:pt x="5" y="11"/>
                <a:pt x="0" y="23"/>
                <a:pt x="0" y="33"/>
              </a:cubicBezTo>
              <a:cubicBezTo>
                <a:pt x="0" y="43"/>
                <a:pt x="8" y="55"/>
                <a:pt x="10" y="6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180975</xdr:rowOff>
    </xdr:from>
    <xdr:to>
      <xdr:col>10</xdr:col>
      <xdr:colOff>0</xdr:colOff>
      <xdr:row>53</xdr:row>
      <xdr:rowOff>180975</xdr:rowOff>
    </xdr:to>
    <xdr:sp>
      <xdr:nvSpPr>
        <xdr:cNvPr id="38" name="Line 139"/>
        <xdr:cNvSpPr>
          <a:spLocks/>
        </xdr:cNvSpPr>
      </xdr:nvSpPr>
      <xdr:spPr>
        <a:xfrm flipH="1">
          <a:off x="2286000" y="12372975"/>
          <a:ext cx="971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228600</xdr:colOff>
      <xdr:row>51</xdr:row>
      <xdr:rowOff>114300</xdr:rowOff>
    </xdr:from>
    <xdr:to>
      <xdr:col>12</xdr:col>
      <xdr:colOff>228600</xdr:colOff>
      <xdr:row>57</xdr:row>
      <xdr:rowOff>180975</xdr:rowOff>
    </xdr:to>
    <xdr:sp>
      <xdr:nvSpPr>
        <xdr:cNvPr id="39" name="Line 140"/>
        <xdr:cNvSpPr>
          <a:spLocks/>
        </xdr:cNvSpPr>
      </xdr:nvSpPr>
      <xdr:spPr>
        <a:xfrm flipH="1">
          <a:off x="3486150" y="11849100"/>
          <a:ext cx="647700" cy="14382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0</xdr:rowOff>
    </xdr:from>
    <xdr:to>
      <xdr:col>21</xdr:col>
      <xdr:colOff>0</xdr:colOff>
      <xdr:row>60</xdr:row>
      <xdr:rowOff>0</xdr:rowOff>
    </xdr:to>
    <xdr:sp>
      <xdr:nvSpPr>
        <xdr:cNvPr id="40" name="Line 141"/>
        <xdr:cNvSpPr>
          <a:spLocks/>
        </xdr:cNvSpPr>
      </xdr:nvSpPr>
      <xdr:spPr>
        <a:xfrm flipH="1">
          <a:off x="5524500" y="13792200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142875</xdr:colOff>
      <xdr:row>52</xdr:row>
      <xdr:rowOff>123825</xdr:rowOff>
    </xdr:from>
    <xdr:to>
      <xdr:col>17</xdr:col>
      <xdr:colOff>0</xdr:colOff>
      <xdr:row>60</xdr:row>
      <xdr:rowOff>0</xdr:rowOff>
    </xdr:to>
    <xdr:sp>
      <xdr:nvSpPr>
        <xdr:cNvPr id="41" name="Line 142"/>
        <xdr:cNvSpPr>
          <a:spLocks/>
        </xdr:cNvSpPr>
      </xdr:nvSpPr>
      <xdr:spPr>
        <a:xfrm flipH="1" flipV="1">
          <a:off x="4048125" y="12087225"/>
          <a:ext cx="1476375" cy="17049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57</xdr:row>
      <xdr:rowOff>142875</xdr:rowOff>
    </xdr:from>
    <xdr:to>
      <xdr:col>10</xdr:col>
      <xdr:colOff>285750</xdr:colOff>
      <xdr:row>57</xdr:row>
      <xdr:rowOff>219075</xdr:rowOff>
    </xdr:to>
    <xdr:sp>
      <xdr:nvSpPr>
        <xdr:cNvPr id="42" name="Oval 143"/>
        <xdr:cNvSpPr>
          <a:spLocks/>
        </xdr:cNvSpPr>
      </xdr:nvSpPr>
      <xdr:spPr>
        <a:xfrm flipH="1">
          <a:off x="3448050" y="132492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190500</xdr:colOff>
      <xdr:row>53</xdr:row>
      <xdr:rowOff>142875</xdr:rowOff>
    </xdr:from>
    <xdr:to>
      <xdr:col>10</xdr:col>
      <xdr:colOff>285750</xdr:colOff>
      <xdr:row>53</xdr:row>
      <xdr:rowOff>219075</xdr:rowOff>
    </xdr:to>
    <xdr:sp>
      <xdr:nvSpPr>
        <xdr:cNvPr id="43" name="Oval 144"/>
        <xdr:cNvSpPr>
          <a:spLocks/>
        </xdr:cNvSpPr>
      </xdr:nvSpPr>
      <xdr:spPr>
        <a:xfrm flipH="1">
          <a:off x="3448050" y="123348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57</xdr:row>
      <xdr:rowOff>200025</xdr:rowOff>
    </xdr:from>
    <xdr:to>
      <xdr:col>10</xdr:col>
      <xdr:colOff>104775</xdr:colOff>
      <xdr:row>61</xdr:row>
      <xdr:rowOff>219075</xdr:rowOff>
    </xdr:to>
    <xdr:sp>
      <xdr:nvSpPr>
        <xdr:cNvPr id="44" name="AutoShape 145"/>
        <xdr:cNvSpPr>
          <a:spLocks/>
        </xdr:cNvSpPr>
      </xdr:nvSpPr>
      <xdr:spPr>
        <a:xfrm>
          <a:off x="3209925" y="13306425"/>
          <a:ext cx="152400" cy="933450"/>
        </a:xfrm>
        <a:custGeom>
          <a:pathLst>
            <a:path h="60" w="10">
              <a:moveTo>
                <a:pt x="10" y="0"/>
              </a:moveTo>
              <a:cubicBezTo>
                <a:pt x="5" y="11"/>
                <a:pt x="0" y="23"/>
                <a:pt x="0" y="33"/>
              </a:cubicBezTo>
              <a:cubicBezTo>
                <a:pt x="0" y="43"/>
                <a:pt x="8" y="55"/>
                <a:pt x="10" y="6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180975</xdr:rowOff>
    </xdr:from>
    <xdr:to>
      <xdr:col>9</xdr:col>
      <xdr:colOff>247650</xdr:colOff>
      <xdr:row>57</xdr:row>
      <xdr:rowOff>180975</xdr:rowOff>
    </xdr:to>
    <xdr:sp>
      <xdr:nvSpPr>
        <xdr:cNvPr id="45" name="Line 146"/>
        <xdr:cNvSpPr>
          <a:spLocks/>
        </xdr:cNvSpPr>
      </xdr:nvSpPr>
      <xdr:spPr>
        <a:xfrm flipH="1">
          <a:off x="2286000" y="13287375"/>
          <a:ext cx="8953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180975</xdr:rowOff>
    </xdr:from>
    <xdr:to>
      <xdr:col>7</xdr:col>
      <xdr:colOff>0</xdr:colOff>
      <xdr:row>61</xdr:row>
      <xdr:rowOff>219075</xdr:rowOff>
    </xdr:to>
    <xdr:sp>
      <xdr:nvSpPr>
        <xdr:cNvPr id="46" name="Line 147"/>
        <xdr:cNvSpPr>
          <a:spLocks/>
        </xdr:cNvSpPr>
      </xdr:nvSpPr>
      <xdr:spPr>
        <a:xfrm>
          <a:off x="2286000" y="13287375"/>
          <a:ext cx="0" cy="9525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180975</xdr:rowOff>
    </xdr:from>
    <xdr:to>
      <xdr:col>7</xdr:col>
      <xdr:colOff>0</xdr:colOff>
      <xdr:row>57</xdr:row>
      <xdr:rowOff>180975</xdr:rowOff>
    </xdr:to>
    <xdr:sp>
      <xdr:nvSpPr>
        <xdr:cNvPr id="47" name="Line 148"/>
        <xdr:cNvSpPr>
          <a:spLocks/>
        </xdr:cNvSpPr>
      </xdr:nvSpPr>
      <xdr:spPr>
        <a:xfrm>
          <a:off x="2286000" y="12372975"/>
          <a:ext cx="0" cy="9144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57</xdr:row>
      <xdr:rowOff>180975</xdr:rowOff>
    </xdr:from>
    <xdr:to>
      <xdr:col>21</xdr:col>
      <xdr:colOff>38100</xdr:colOff>
      <xdr:row>57</xdr:row>
      <xdr:rowOff>180975</xdr:rowOff>
    </xdr:to>
    <xdr:sp>
      <xdr:nvSpPr>
        <xdr:cNvPr id="48" name="Line 149"/>
        <xdr:cNvSpPr>
          <a:spLocks/>
        </xdr:cNvSpPr>
      </xdr:nvSpPr>
      <xdr:spPr>
        <a:xfrm flipH="1">
          <a:off x="3686175" y="13287375"/>
          <a:ext cx="3171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53</xdr:row>
      <xdr:rowOff>180975</xdr:rowOff>
    </xdr:from>
    <xdr:to>
      <xdr:col>12</xdr:col>
      <xdr:colOff>152400</xdr:colOff>
      <xdr:row>55</xdr:row>
      <xdr:rowOff>180975</xdr:rowOff>
    </xdr:to>
    <xdr:grpSp>
      <xdr:nvGrpSpPr>
        <xdr:cNvPr id="49" name="Group 156"/>
        <xdr:cNvGrpSpPr>
          <a:grpSpLocks/>
        </xdr:cNvGrpSpPr>
      </xdr:nvGrpSpPr>
      <xdr:grpSpPr>
        <a:xfrm flipH="1">
          <a:off x="3581400" y="12372975"/>
          <a:ext cx="476250" cy="457200"/>
          <a:chOff x="270" y="739"/>
          <a:chExt cx="40" cy="48"/>
        </a:xfrm>
        <a:solidFill>
          <a:srgbClr val="FFFFFF"/>
        </a:solidFill>
      </xdr:grpSpPr>
      <xdr:sp>
        <xdr:nvSpPr>
          <xdr:cNvPr id="50" name="Line 150"/>
          <xdr:cNvSpPr>
            <a:spLocks/>
          </xdr:cNvSpPr>
        </xdr:nvSpPr>
        <xdr:spPr>
          <a:xfrm>
            <a:off x="271" y="75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151"/>
          <xdr:cNvSpPr>
            <a:spLocks/>
          </xdr:cNvSpPr>
        </xdr:nvSpPr>
        <xdr:spPr>
          <a:xfrm>
            <a:off x="271" y="77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152"/>
          <xdr:cNvSpPr>
            <a:spLocks/>
          </xdr:cNvSpPr>
        </xdr:nvSpPr>
        <xdr:spPr>
          <a:xfrm>
            <a:off x="271" y="73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153"/>
          <xdr:cNvSpPr>
            <a:spLocks/>
          </xdr:cNvSpPr>
        </xdr:nvSpPr>
        <xdr:spPr>
          <a:xfrm>
            <a:off x="271" y="763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154"/>
          <xdr:cNvSpPr>
            <a:spLocks/>
          </xdr:cNvSpPr>
        </xdr:nvSpPr>
        <xdr:spPr>
          <a:xfrm flipH="1">
            <a:off x="270" y="739"/>
            <a:ext cx="0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155"/>
          <xdr:cNvSpPr>
            <a:spLocks/>
          </xdr:cNvSpPr>
        </xdr:nvSpPr>
        <xdr:spPr>
          <a:xfrm>
            <a:off x="271" y="78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55</xdr:row>
      <xdr:rowOff>180975</xdr:rowOff>
    </xdr:from>
    <xdr:to>
      <xdr:col>12</xdr:col>
      <xdr:colOff>152400</xdr:colOff>
      <xdr:row>57</xdr:row>
      <xdr:rowOff>180975</xdr:rowOff>
    </xdr:to>
    <xdr:grpSp>
      <xdr:nvGrpSpPr>
        <xdr:cNvPr id="56" name="Group 157"/>
        <xdr:cNvGrpSpPr>
          <a:grpSpLocks/>
        </xdr:cNvGrpSpPr>
      </xdr:nvGrpSpPr>
      <xdr:grpSpPr>
        <a:xfrm flipH="1">
          <a:off x="3581400" y="12830175"/>
          <a:ext cx="476250" cy="457200"/>
          <a:chOff x="270" y="739"/>
          <a:chExt cx="40" cy="48"/>
        </a:xfrm>
        <a:solidFill>
          <a:srgbClr val="FFFFFF"/>
        </a:solidFill>
      </xdr:grpSpPr>
      <xdr:sp>
        <xdr:nvSpPr>
          <xdr:cNvPr id="57" name="Line 158"/>
          <xdr:cNvSpPr>
            <a:spLocks/>
          </xdr:cNvSpPr>
        </xdr:nvSpPr>
        <xdr:spPr>
          <a:xfrm>
            <a:off x="271" y="752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159"/>
          <xdr:cNvSpPr>
            <a:spLocks/>
          </xdr:cNvSpPr>
        </xdr:nvSpPr>
        <xdr:spPr>
          <a:xfrm>
            <a:off x="271" y="77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160"/>
          <xdr:cNvSpPr>
            <a:spLocks/>
          </xdr:cNvSpPr>
        </xdr:nvSpPr>
        <xdr:spPr>
          <a:xfrm>
            <a:off x="271" y="73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161"/>
          <xdr:cNvSpPr>
            <a:spLocks/>
          </xdr:cNvSpPr>
        </xdr:nvSpPr>
        <xdr:spPr>
          <a:xfrm>
            <a:off x="271" y="763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162"/>
          <xdr:cNvSpPr>
            <a:spLocks/>
          </xdr:cNvSpPr>
        </xdr:nvSpPr>
        <xdr:spPr>
          <a:xfrm flipH="1">
            <a:off x="270" y="739"/>
            <a:ext cx="0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163"/>
          <xdr:cNvSpPr>
            <a:spLocks/>
          </xdr:cNvSpPr>
        </xdr:nvSpPr>
        <xdr:spPr>
          <a:xfrm>
            <a:off x="271" y="78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55</xdr:row>
      <xdr:rowOff>180975</xdr:rowOff>
    </xdr:from>
    <xdr:to>
      <xdr:col>10</xdr:col>
      <xdr:colOff>57150</xdr:colOff>
      <xdr:row>55</xdr:row>
      <xdr:rowOff>180975</xdr:rowOff>
    </xdr:to>
    <xdr:sp>
      <xdr:nvSpPr>
        <xdr:cNvPr id="63" name="Line 164"/>
        <xdr:cNvSpPr>
          <a:spLocks/>
        </xdr:cNvSpPr>
      </xdr:nvSpPr>
      <xdr:spPr>
        <a:xfrm flipH="1">
          <a:off x="2762250" y="12830175"/>
          <a:ext cx="552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9525</xdr:colOff>
      <xdr:row>61</xdr:row>
      <xdr:rowOff>180975</xdr:rowOff>
    </xdr:from>
    <xdr:to>
      <xdr:col>18</xdr:col>
      <xdr:colOff>190500</xdr:colOff>
      <xdr:row>61</xdr:row>
      <xdr:rowOff>219075</xdr:rowOff>
    </xdr:to>
    <xdr:grpSp>
      <xdr:nvGrpSpPr>
        <xdr:cNvPr id="64" name="Group 165"/>
        <xdr:cNvGrpSpPr>
          <a:grpSpLocks/>
        </xdr:cNvGrpSpPr>
      </xdr:nvGrpSpPr>
      <xdr:grpSpPr>
        <a:xfrm>
          <a:off x="5534025" y="14201775"/>
          <a:ext cx="504825" cy="38100"/>
          <a:chOff x="-4406" y="-401564"/>
          <a:chExt cx="20553" cy="33"/>
        </a:xfrm>
        <a:solidFill>
          <a:srgbClr val="FFFFFF"/>
        </a:solidFill>
      </xdr:grpSpPr>
      <xdr:sp>
        <xdr:nvSpPr>
          <xdr:cNvPr id="65" name="Rectangle 166"/>
          <xdr:cNvSpPr>
            <a:spLocks/>
          </xdr:cNvSpPr>
        </xdr:nvSpPr>
        <xdr:spPr>
          <a:xfrm>
            <a:off x="5608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Rectangle 167"/>
          <xdr:cNvSpPr>
            <a:spLocks/>
          </xdr:cNvSpPr>
        </xdr:nvSpPr>
        <xdr:spPr>
          <a:xfrm>
            <a:off x="-440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190500</xdr:colOff>
      <xdr:row>61</xdr:row>
      <xdr:rowOff>180975</xdr:rowOff>
    </xdr:from>
    <xdr:to>
      <xdr:col>20</xdr:col>
      <xdr:colOff>28575</xdr:colOff>
      <xdr:row>61</xdr:row>
      <xdr:rowOff>219075</xdr:rowOff>
    </xdr:to>
    <xdr:grpSp>
      <xdr:nvGrpSpPr>
        <xdr:cNvPr id="67" name="Group 168"/>
        <xdr:cNvGrpSpPr>
          <a:grpSpLocks/>
        </xdr:cNvGrpSpPr>
      </xdr:nvGrpSpPr>
      <xdr:grpSpPr>
        <a:xfrm>
          <a:off x="6038850" y="14201775"/>
          <a:ext cx="485775" cy="38100"/>
          <a:chOff x="-3853" y="-401564"/>
          <a:chExt cx="20553" cy="33"/>
        </a:xfrm>
        <a:solidFill>
          <a:srgbClr val="FFFFFF"/>
        </a:solidFill>
      </xdr:grpSpPr>
      <xdr:sp>
        <xdr:nvSpPr>
          <xdr:cNvPr id="68" name="Rectangle 169"/>
          <xdr:cNvSpPr>
            <a:spLocks/>
          </xdr:cNvSpPr>
        </xdr:nvSpPr>
        <xdr:spPr>
          <a:xfrm>
            <a:off x="668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Rectangle 170"/>
          <xdr:cNvSpPr>
            <a:spLocks/>
          </xdr:cNvSpPr>
        </xdr:nvSpPr>
        <xdr:spPr>
          <a:xfrm>
            <a:off x="-3853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180975</xdr:colOff>
      <xdr:row>61</xdr:row>
      <xdr:rowOff>180975</xdr:rowOff>
    </xdr:from>
    <xdr:to>
      <xdr:col>17</xdr:col>
      <xdr:colOff>38100</xdr:colOff>
      <xdr:row>61</xdr:row>
      <xdr:rowOff>219075</xdr:rowOff>
    </xdr:to>
    <xdr:grpSp>
      <xdr:nvGrpSpPr>
        <xdr:cNvPr id="70" name="Group 171"/>
        <xdr:cNvGrpSpPr>
          <a:grpSpLocks/>
        </xdr:cNvGrpSpPr>
      </xdr:nvGrpSpPr>
      <xdr:grpSpPr>
        <a:xfrm>
          <a:off x="5057775" y="14201775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71" name="Rectangle 172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Rectangle 173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285750</xdr:colOff>
      <xdr:row>55</xdr:row>
      <xdr:rowOff>180975</xdr:rowOff>
    </xdr:from>
    <xdr:to>
      <xdr:col>8</xdr:col>
      <xdr:colOff>85725</xdr:colOff>
      <xdr:row>55</xdr:row>
      <xdr:rowOff>180975</xdr:rowOff>
    </xdr:to>
    <xdr:sp>
      <xdr:nvSpPr>
        <xdr:cNvPr id="73" name="Line 174"/>
        <xdr:cNvSpPr>
          <a:spLocks/>
        </xdr:cNvSpPr>
      </xdr:nvSpPr>
      <xdr:spPr>
        <a:xfrm flipH="1">
          <a:off x="1905000" y="12830175"/>
          <a:ext cx="7905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52</xdr:row>
      <xdr:rowOff>104775</xdr:rowOff>
    </xdr:from>
    <xdr:to>
      <xdr:col>21</xdr:col>
      <xdr:colOff>0</xdr:colOff>
      <xdr:row>57</xdr:row>
      <xdr:rowOff>180975</xdr:rowOff>
    </xdr:to>
    <xdr:sp>
      <xdr:nvSpPr>
        <xdr:cNvPr id="74" name="Line 175"/>
        <xdr:cNvSpPr>
          <a:spLocks/>
        </xdr:cNvSpPr>
      </xdr:nvSpPr>
      <xdr:spPr>
        <a:xfrm>
          <a:off x="6819900" y="12068175"/>
          <a:ext cx="0" cy="1219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190500</xdr:colOff>
      <xdr:row>50</xdr:row>
      <xdr:rowOff>180975</xdr:rowOff>
    </xdr:from>
    <xdr:to>
      <xdr:col>13</xdr:col>
      <xdr:colOff>247650</xdr:colOff>
      <xdr:row>51</xdr:row>
      <xdr:rowOff>142875</xdr:rowOff>
    </xdr:to>
    <xdr:grpSp>
      <xdr:nvGrpSpPr>
        <xdr:cNvPr id="75" name="Group 177"/>
        <xdr:cNvGrpSpPr>
          <a:grpSpLocks/>
        </xdr:cNvGrpSpPr>
      </xdr:nvGrpSpPr>
      <xdr:grpSpPr>
        <a:xfrm>
          <a:off x="4095750" y="11687175"/>
          <a:ext cx="381000" cy="190500"/>
          <a:chOff x="314" y="162"/>
          <a:chExt cx="32" cy="20"/>
        </a:xfrm>
        <a:solidFill>
          <a:srgbClr val="FFFFFF"/>
        </a:solidFill>
      </xdr:grpSpPr>
      <xdr:sp>
        <xdr:nvSpPr>
          <xdr:cNvPr id="76" name="AutoShape 178"/>
          <xdr:cNvSpPr>
            <a:spLocks/>
          </xdr:cNvSpPr>
        </xdr:nvSpPr>
        <xdr:spPr>
          <a:xfrm>
            <a:off x="321" y="162"/>
            <a:ext cx="25" cy="20"/>
          </a:xfrm>
          <a:custGeom>
            <a:pathLst>
              <a:path h="20" w="25">
                <a:moveTo>
                  <a:pt x="0" y="20"/>
                </a:moveTo>
                <a:lnTo>
                  <a:pt x="0" y="0"/>
                </a:lnTo>
                <a:lnTo>
                  <a:pt x="25" y="0"/>
                </a:lnTo>
                <a:lnTo>
                  <a:pt x="25" y="8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Oval 179"/>
          <xdr:cNvSpPr>
            <a:spLocks/>
          </xdr:cNvSpPr>
        </xdr:nvSpPr>
        <xdr:spPr>
          <a:xfrm>
            <a:off x="314" y="176"/>
            <a:ext cx="6" cy="6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10</xdr:row>
      <xdr:rowOff>180975</xdr:rowOff>
    </xdr:from>
    <xdr:to>
      <xdr:col>24</xdr:col>
      <xdr:colOff>38100</xdr:colOff>
      <xdr:row>12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876925" y="2466975"/>
          <a:ext cx="1933575" cy="4381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16</xdr:col>
      <xdr:colOff>180975</xdr:colOff>
      <xdr:row>11</xdr:row>
      <xdr:rowOff>142875</xdr:rowOff>
    </xdr:from>
    <xdr:to>
      <xdr:col>25</xdr:col>
      <xdr:colOff>0</xdr:colOff>
      <xdr:row>11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362575" y="26574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11</xdr:row>
      <xdr:rowOff>219075</xdr:rowOff>
    </xdr:from>
    <xdr:to>
      <xdr:col>25</xdr:col>
      <xdr:colOff>0</xdr:colOff>
      <xdr:row>11</xdr:row>
      <xdr:rowOff>219075</xdr:rowOff>
    </xdr:to>
    <xdr:sp>
      <xdr:nvSpPr>
        <xdr:cNvPr id="3" name="Line 3"/>
        <xdr:cNvSpPr>
          <a:spLocks/>
        </xdr:cNvSpPr>
      </xdr:nvSpPr>
      <xdr:spPr>
        <a:xfrm>
          <a:off x="5362575" y="27336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362575" y="3200400"/>
          <a:ext cx="274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14</xdr:row>
      <xdr:rowOff>76200</xdr:rowOff>
    </xdr:from>
    <xdr:to>
      <xdr:col>25</xdr:col>
      <xdr:colOff>9525</xdr:colOff>
      <xdr:row>14</xdr:row>
      <xdr:rowOff>76200</xdr:rowOff>
    </xdr:to>
    <xdr:sp>
      <xdr:nvSpPr>
        <xdr:cNvPr id="5" name="Line 5"/>
        <xdr:cNvSpPr>
          <a:spLocks/>
        </xdr:cNvSpPr>
      </xdr:nvSpPr>
      <xdr:spPr>
        <a:xfrm>
          <a:off x="5362575" y="3276600"/>
          <a:ext cx="274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76200</xdr:colOff>
      <xdr:row>4</xdr:row>
      <xdr:rowOff>38100</xdr:rowOff>
    </xdr:from>
    <xdr:to>
      <xdr:col>24</xdr:col>
      <xdr:colOff>76200</xdr:colOff>
      <xdr:row>14</xdr:row>
      <xdr:rowOff>142875</xdr:rowOff>
    </xdr:to>
    <xdr:sp>
      <xdr:nvSpPr>
        <xdr:cNvPr id="6" name="Line 8"/>
        <xdr:cNvSpPr>
          <a:spLocks/>
        </xdr:cNvSpPr>
      </xdr:nvSpPr>
      <xdr:spPr>
        <a:xfrm>
          <a:off x="7848600" y="95250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38100</xdr:rowOff>
    </xdr:from>
    <xdr:to>
      <xdr:col>24</xdr:col>
      <xdr:colOff>0</xdr:colOff>
      <xdr:row>14</xdr:row>
      <xdr:rowOff>142875</xdr:rowOff>
    </xdr:to>
    <xdr:sp>
      <xdr:nvSpPr>
        <xdr:cNvPr id="7" name="Line 9"/>
        <xdr:cNvSpPr>
          <a:spLocks/>
        </xdr:cNvSpPr>
      </xdr:nvSpPr>
      <xdr:spPr>
        <a:xfrm>
          <a:off x="7772400" y="95250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38100</xdr:rowOff>
    </xdr:from>
    <xdr:to>
      <xdr:col>24</xdr:col>
      <xdr:colOff>76200</xdr:colOff>
      <xdr:row>4</xdr:row>
      <xdr:rowOff>38100</xdr:rowOff>
    </xdr:to>
    <xdr:sp>
      <xdr:nvSpPr>
        <xdr:cNvPr id="8" name="Line 10"/>
        <xdr:cNvSpPr>
          <a:spLocks/>
        </xdr:cNvSpPr>
      </xdr:nvSpPr>
      <xdr:spPr>
        <a:xfrm flipV="1">
          <a:off x="7772400" y="952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142875</xdr:rowOff>
    </xdr:from>
    <xdr:to>
      <xdr:col>24</xdr:col>
      <xdr:colOff>76200</xdr:colOff>
      <xdr:row>14</xdr:row>
      <xdr:rowOff>142875</xdr:rowOff>
    </xdr:to>
    <xdr:sp>
      <xdr:nvSpPr>
        <xdr:cNvPr id="9" name="Line 11"/>
        <xdr:cNvSpPr>
          <a:spLocks/>
        </xdr:cNvSpPr>
      </xdr:nvSpPr>
      <xdr:spPr>
        <a:xfrm flipV="1">
          <a:off x="7772400" y="3343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76200</xdr:colOff>
      <xdr:row>4</xdr:row>
      <xdr:rowOff>38100</xdr:rowOff>
    </xdr:from>
    <xdr:to>
      <xdr:col>18</xdr:col>
      <xdr:colOff>76200</xdr:colOff>
      <xdr:row>14</xdr:row>
      <xdr:rowOff>142875</xdr:rowOff>
    </xdr:to>
    <xdr:sp>
      <xdr:nvSpPr>
        <xdr:cNvPr id="10" name="Line 12"/>
        <xdr:cNvSpPr>
          <a:spLocks/>
        </xdr:cNvSpPr>
      </xdr:nvSpPr>
      <xdr:spPr>
        <a:xfrm>
          <a:off x="5905500" y="95250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38100</xdr:rowOff>
    </xdr:from>
    <xdr:to>
      <xdr:col>18</xdr:col>
      <xdr:colOff>0</xdr:colOff>
      <xdr:row>14</xdr:row>
      <xdr:rowOff>142875</xdr:rowOff>
    </xdr:to>
    <xdr:sp>
      <xdr:nvSpPr>
        <xdr:cNvPr id="11" name="Line 13"/>
        <xdr:cNvSpPr>
          <a:spLocks/>
        </xdr:cNvSpPr>
      </xdr:nvSpPr>
      <xdr:spPr>
        <a:xfrm>
          <a:off x="5829300" y="95250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38100</xdr:rowOff>
    </xdr:from>
    <xdr:to>
      <xdr:col>18</xdr:col>
      <xdr:colOff>76200</xdr:colOff>
      <xdr:row>4</xdr:row>
      <xdr:rowOff>38100</xdr:rowOff>
    </xdr:to>
    <xdr:sp>
      <xdr:nvSpPr>
        <xdr:cNvPr id="12" name="Line 14"/>
        <xdr:cNvSpPr>
          <a:spLocks/>
        </xdr:cNvSpPr>
      </xdr:nvSpPr>
      <xdr:spPr>
        <a:xfrm flipV="1">
          <a:off x="5829300" y="952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142875</xdr:rowOff>
    </xdr:from>
    <xdr:to>
      <xdr:col>18</xdr:col>
      <xdr:colOff>76200</xdr:colOff>
      <xdr:row>14</xdr:row>
      <xdr:rowOff>142875</xdr:rowOff>
    </xdr:to>
    <xdr:sp>
      <xdr:nvSpPr>
        <xdr:cNvPr id="13" name="Line 15"/>
        <xdr:cNvSpPr>
          <a:spLocks/>
        </xdr:cNvSpPr>
      </xdr:nvSpPr>
      <xdr:spPr>
        <a:xfrm flipV="1">
          <a:off x="5829300" y="3343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7</xdr:row>
      <xdr:rowOff>66675</xdr:rowOff>
    </xdr:from>
    <xdr:to>
      <xdr:col>25</xdr:col>
      <xdr:colOff>0</xdr:colOff>
      <xdr:row>7</xdr:row>
      <xdr:rowOff>66675</xdr:rowOff>
    </xdr:to>
    <xdr:sp>
      <xdr:nvSpPr>
        <xdr:cNvPr id="14" name="Line 16"/>
        <xdr:cNvSpPr>
          <a:spLocks/>
        </xdr:cNvSpPr>
      </xdr:nvSpPr>
      <xdr:spPr>
        <a:xfrm>
          <a:off x="5362575" y="16668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7</xdr:row>
      <xdr:rowOff>133350</xdr:rowOff>
    </xdr:from>
    <xdr:to>
      <xdr:col>25</xdr:col>
      <xdr:colOff>0</xdr:colOff>
      <xdr:row>7</xdr:row>
      <xdr:rowOff>133350</xdr:rowOff>
    </xdr:to>
    <xdr:sp>
      <xdr:nvSpPr>
        <xdr:cNvPr id="15" name="Line 17"/>
        <xdr:cNvSpPr>
          <a:spLocks/>
        </xdr:cNvSpPr>
      </xdr:nvSpPr>
      <xdr:spPr>
        <a:xfrm>
          <a:off x="5362575" y="173355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19</xdr:col>
      <xdr:colOff>0</xdr:colOff>
      <xdr:row>11</xdr:row>
      <xdr:rowOff>0</xdr:rowOff>
    </xdr:to>
    <xdr:sp>
      <xdr:nvSpPr>
        <xdr:cNvPr id="16" name="Line 18"/>
        <xdr:cNvSpPr>
          <a:spLocks/>
        </xdr:cNvSpPr>
      </xdr:nvSpPr>
      <xdr:spPr>
        <a:xfrm>
          <a:off x="5505450" y="2057400"/>
          <a:ext cx="6477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285750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17" name="Line 19"/>
        <xdr:cNvSpPr>
          <a:spLocks/>
        </xdr:cNvSpPr>
      </xdr:nvSpPr>
      <xdr:spPr>
        <a:xfrm>
          <a:off x="4495800" y="2057400"/>
          <a:ext cx="10096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47625</xdr:colOff>
      <xdr:row>15</xdr:row>
      <xdr:rowOff>0</xdr:rowOff>
    </xdr:from>
    <xdr:to>
      <xdr:col>18</xdr:col>
      <xdr:colOff>47625</xdr:colOff>
      <xdr:row>17</xdr:row>
      <xdr:rowOff>0</xdr:rowOff>
    </xdr:to>
    <xdr:sp>
      <xdr:nvSpPr>
        <xdr:cNvPr id="18" name="Line 20"/>
        <xdr:cNvSpPr>
          <a:spLocks/>
        </xdr:cNvSpPr>
      </xdr:nvSpPr>
      <xdr:spPr>
        <a:xfrm>
          <a:off x="5876925" y="34290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47625</xdr:colOff>
      <xdr:row>15</xdr:row>
      <xdr:rowOff>0</xdr:rowOff>
    </xdr:from>
    <xdr:to>
      <xdr:col>24</xdr:col>
      <xdr:colOff>47625</xdr:colOff>
      <xdr:row>17</xdr:row>
      <xdr:rowOff>0</xdr:rowOff>
    </xdr:to>
    <xdr:sp>
      <xdr:nvSpPr>
        <xdr:cNvPr id="19" name="Line 21"/>
        <xdr:cNvSpPr>
          <a:spLocks/>
        </xdr:cNvSpPr>
      </xdr:nvSpPr>
      <xdr:spPr>
        <a:xfrm>
          <a:off x="7820025" y="3429000"/>
          <a:ext cx="0" cy="457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47625</xdr:colOff>
      <xdr:row>17</xdr:row>
      <xdr:rowOff>0</xdr:rowOff>
    </xdr:from>
    <xdr:to>
      <xdr:col>24</xdr:col>
      <xdr:colOff>47625</xdr:colOff>
      <xdr:row>17</xdr:row>
      <xdr:rowOff>0</xdr:rowOff>
    </xdr:to>
    <xdr:sp>
      <xdr:nvSpPr>
        <xdr:cNvPr id="20" name="Line 22"/>
        <xdr:cNvSpPr>
          <a:spLocks/>
        </xdr:cNvSpPr>
      </xdr:nvSpPr>
      <xdr:spPr>
        <a:xfrm>
          <a:off x="5876925" y="3886200"/>
          <a:ext cx="1943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9</xdr:row>
      <xdr:rowOff>161925</xdr:rowOff>
    </xdr:from>
    <xdr:to>
      <xdr:col>25</xdr:col>
      <xdr:colOff>0</xdr:colOff>
      <xdr:row>9</xdr:row>
      <xdr:rowOff>161925</xdr:rowOff>
    </xdr:to>
    <xdr:sp>
      <xdr:nvSpPr>
        <xdr:cNvPr id="21" name="Line 47"/>
        <xdr:cNvSpPr>
          <a:spLocks/>
        </xdr:cNvSpPr>
      </xdr:nvSpPr>
      <xdr:spPr>
        <a:xfrm>
          <a:off x="5362575" y="221932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22" name="Line 48"/>
        <xdr:cNvSpPr>
          <a:spLocks/>
        </xdr:cNvSpPr>
      </xdr:nvSpPr>
      <xdr:spPr>
        <a:xfrm>
          <a:off x="5362575" y="22860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66675</xdr:rowOff>
    </xdr:from>
    <xdr:to>
      <xdr:col>7</xdr:col>
      <xdr:colOff>85725</xdr:colOff>
      <xdr:row>14</xdr:row>
      <xdr:rowOff>209550</xdr:rowOff>
    </xdr:to>
    <xdr:sp>
      <xdr:nvSpPr>
        <xdr:cNvPr id="23" name="Rectangle 103"/>
        <xdr:cNvSpPr>
          <a:spLocks/>
        </xdr:cNvSpPr>
      </xdr:nvSpPr>
      <xdr:spPr>
        <a:xfrm>
          <a:off x="2266950" y="981075"/>
          <a:ext cx="8572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0</xdr:rowOff>
    </xdr:from>
    <xdr:to>
      <xdr:col>14</xdr:col>
      <xdr:colOff>190500</xdr:colOff>
      <xdr:row>14</xdr:row>
      <xdr:rowOff>0</xdr:rowOff>
    </xdr:to>
    <xdr:sp>
      <xdr:nvSpPr>
        <xdr:cNvPr id="24" name="Line 104"/>
        <xdr:cNvSpPr>
          <a:spLocks/>
        </xdr:cNvSpPr>
      </xdr:nvSpPr>
      <xdr:spPr>
        <a:xfrm>
          <a:off x="2181225" y="320040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76200</xdr:rowOff>
    </xdr:from>
    <xdr:to>
      <xdr:col>14</xdr:col>
      <xdr:colOff>190500</xdr:colOff>
      <xdr:row>14</xdr:row>
      <xdr:rowOff>76200</xdr:rowOff>
    </xdr:to>
    <xdr:sp>
      <xdr:nvSpPr>
        <xdr:cNvPr id="25" name="Line 105"/>
        <xdr:cNvSpPr>
          <a:spLocks/>
        </xdr:cNvSpPr>
      </xdr:nvSpPr>
      <xdr:spPr>
        <a:xfrm flipV="1">
          <a:off x="2181225" y="327660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0</xdr:rowOff>
    </xdr:from>
    <xdr:to>
      <xdr:col>6</xdr:col>
      <xdr:colOff>238125</xdr:colOff>
      <xdr:row>14</xdr:row>
      <xdr:rowOff>57150</xdr:rowOff>
    </xdr:to>
    <xdr:sp>
      <xdr:nvSpPr>
        <xdr:cNvPr id="26" name="Line 106"/>
        <xdr:cNvSpPr>
          <a:spLocks/>
        </xdr:cNvSpPr>
      </xdr:nvSpPr>
      <xdr:spPr>
        <a:xfrm>
          <a:off x="2181225" y="32004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13</xdr:row>
      <xdr:rowOff>152400</xdr:rowOff>
    </xdr:from>
    <xdr:to>
      <xdr:col>7</xdr:col>
      <xdr:colOff>180975</xdr:colOff>
      <xdr:row>14</xdr:row>
      <xdr:rowOff>0</xdr:rowOff>
    </xdr:to>
    <xdr:sp>
      <xdr:nvSpPr>
        <xdr:cNvPr id="27" name="Oval 107"/>
        <xdr:cNvSpPr>
          <a:spLocks/>
        </xdr:cNvSpPr>
      </xdr:nvSpPr>
      <xdr:spPr>
        <a:xfrm flipH="1">
          <a:off x="2352675" y="31242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152400</xdr:rowOff>
    </xdr:from>
    <xdr:to>
      <xdr:col>7</xdr:col>
      <xdr:colOff>180975</xdr:colOff>
      <xdr:row>12</xdr:row>
      <xdr:rowOff>0</xdr:rowOff>
    </xdr:to>
    <xdr:sp>
      <xdr:nvSpPr>
        <xdr:cNvPr id="28" name="Oval 108"/>
        <xdr:cNvSpPr>
          <a:spLocks/>
        </xdr:cNvSpPr>
      </xdr:nvSpPr>
      <xdr:spPr>
        <a:xfrm>
          <a:off x="2352675" y="26670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190500</xdr:rowOff>
    </xdr:from>
    <xdr:to>
      <xdr:col>5</xdr:col>
      <xdr:colOff>0</xdr:colOff>
      <xdr:row>12</xdr:row>
      <xdr:rowOff>190500</xdr:rowOff>
    </xdr:to>
    <xdr:sp>
      <xdr:nvSpPr>
        <xdr:cNvPr id="29" name="Line 112"/>
        <xdr:cNvSpPr>
          <a:spLocks/>
        </xdr:cNvSpPr>
      </xdr:nvSpPr>
      <xdr:spPr>
        <a:xfrm flipH="1">
          <a:off x="971550" y="2933700"/>
          <a:ext cx="647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190500</xdr:colOff>
      <xdr:row>13</xdr:row>
      <xdr:rowOff>190500</xdr:rowOff>
    </xdr:from>
    <xdr:to>
      <xdr:col>9</xdr:col>
      <xdr:colOff>28575</xdr:colOff>
      <xdr:row>14</xdr:row>
      <xdr:rowOff>0</xdr:rowOff>
    </xdr:to>
    <xdr:grpSp>
      <xdr:nvGrpSpPr>
        <xdr:cNvPr id="30" name="Group 116"/>
        <xdr:cNvGrpSpPr>
          <a:grpSpLocks/>
        </xdr:cNvGrpSpPr>
      </xdr:nvGrpSpPr>
      <xdr:grpSpPr>
        <a:xfrm>
          <a:off x="2457450" y="3162300"/>
          <a:ext cx="485775" cy="38100"/>
          <a:chOff x="-1803" y="-401564"/>
          <a:chExt cx="11466" cy="33"/>
        </a:xfrm>
        <a:solidFill>
          <a:srgbClr val="FFFFFF"/>
        </a:solidFill>
      </xdr:grpSpPr>
      <xdr:sp>
        <xdr:nvSpPr>
          <xdr:cNvPr id="31" name="Rectangle 117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Rectangle 118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13</xdr:row>
      <xdr:rowOff>190500</xdr:rowOff>
    </xdr:from>
    <xdr:to>
      <xdr:col>10</xdr:col>
      <xdr:colOff>190500</xdr:colOff>
      <xdr:row>14</xdr:row>
      <xdr:rowOff>0</xdr:rowOff>
    </xdr:to>
    <xdr:grpSp>
      <xdr:nvGrpSpPr>
        <xdr:cNvPr id="33" name="Group 119"/>
        <xdr:cNvGrpSpPr>
          <a:grpSpLocks/>
        </xdr:cNvGrpSpPr>
      </xdr:nvGrpSpPr>
      <xdr:grpSpPr>
        <a:xfrm>
          <a:off x="2914650" y="3162300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34" name="Rectangle 120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Rectangle 121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13</xdr:row>
      <xdr:rowOff>190500</xdr:rowOff>
    </xdr:from>
    <xdr:to>
      <xdr:col>12</xdr:col>
      <xdr:colOff>28575</xdr:colOff>
      <xdr:row>14</xdr:row>
      <xdr:rowOff>0</xdr:rowOff>
    </xdr:to>
    <xdr:grpSp>
      <xdr:nvGrpSpPr>
        <xdr:cNvPr id="36" name="Group 122"/>
        <xdr:cNvGrpSpPr>
          <a:grpSpLocks/>
        </xdr:cNvGrpSpPr>
      </xdr:nvGrpSpPr>
      <xdr:grpSpPr>
        <a:xfrm>
          <a:off x="3429000" y="3162300"/>
          <a:ext cx="485775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37" name="Rectangle 123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Rectangle 124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13</xdr:row>
      <xdr:rowOff>190500</xdr:rowOff>
    </xdr:from>
    <xdr:to>
      <xdr:col>13</xdr:col>
      <xdr:colOff>190500</xdr:colOff>
      <xdr:row>14</xdr:row>
      <xdr:rowOff>0</xdr:rowOff>
    </xdr:to>
    <xdr:grpSp>
      <xdr:nvGrpSpPr>
        <xdr:cNvPr id="39" name="Group 125"/>
        <xdr:cNvGrpSpPr>
          <a:grpSpLocks/>
        </xdr:cNvGrpSpPr>
      </xdr:nvGrpSpPr>
      <xdr:grpSpPr>
        <a:xfrm>
          <a:off x="3895725" y="3162300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40" name="Rectangle 126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Rectangle 127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10</xdr:row>
      <xdr:rowOff>190500</xdr:rowOff>
    </xdr:from>
    <xdr:to>
      <xdr:col>5</xdr:col>
      <xdr:colOff>9525</xdr:colOff>
      <xdr:row>10</xdr:row>
      <xdr:rowOff>190500</xdr:rowOff>
    </xdr:to>
    <xdr:sp>
      <xdr:nvSpPr>
        <xdr:cNvPr id="42" name="Line 135"/>
        <xdr:cNvSpPr>
          <a:spLocks/>
        </xdr:cNvSpPr>
      </xdr:nvSpPr>
      <xdr:spPr>
        <a:xfrm flipH="1">
          <a:off x="971550" y="2476500"/>
          <a:ext cx="6572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180975</xdr:colOff>
      <xdr:row>9</xdr:row>
      <xdr:rowOff>152400</xdr:rowOff>
    </xdr:from>
    <xdr:to>
      <xdr:col>7</xdr:col>
      <xdr:colOff>219075</xdr:colOff>
      <xdr:row>13</xdr:row>
      <xdr:rowOff>152400</xdr:rowOff>
    </xdr:to>
    <xdr:sp>
      <xdr:nvSpPr>
        <xdr:cNvPr id="43" name="Rectangle 137"/>
        <xdr:cNvSpPr>
          <a:spLocks/>
        </xdr:cNvSpPr>
      </xdr:nvSpPr>
      <xdr:spPr>
        <a:xfrm>
          <a:off x="2447925" y="2209800"/>
          <a:ext cx="381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190500</xdr:rowOff>
    </xdr:from>
    <xdr:to>
      <xdr:col>3</xdr:col>
      <xdr:colOff>0</xdr:colOff>
      <xdr:row>12</xdr:row>
      <xdr:rowOff>190500</xdr:rowOff>
    </xdr:to>
    <xdr:sp>
      <xdr:nvSpPr>
        <xdr:cNvPr id="44" name="Line 138"/>
        <xdr:cNvSpPr>
          <a:spLocks/>
        </xdr:cNvSpPr>
      </xdr:nvSpPr>
      <xdr:spPr>
        <a:xfrm>
          <a:off x="971550" y="24765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47625</xdr:rowOff>
    </xdr:from>
    <xdr:to>
      <xdr:col>7</xdr:col>
      <xdr:colOff>180975</xdr:colOff>
      <xdr:row>7</xdr:row>
      <xdr:rowOff>123825</xdr:rowOff>
    </xdr:to>
    <xdr:sp>
      <xdr:nvSpPr>
        <xdr:cNvPr id="45" name="Oval 149"/>
        <xdr:cNvSpPr>
          <a:spLocks/>
        </xdr:cNvSpPr>
      </xdr:nvSpPr>
      <xdr:spPr>
        <a:xfrm>
          <a:off x="2352675" y="164782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85725</xdr:rowOff>
    </xdr:from>
    <xdr:to>
      <xdr:col>7</xdr:col>
      <xdr:colOff>0</xdr:colOff>
      <xdr:row>11</xdr:row>
      <xdr:rowOff>85725</xdr:rowOff>
    </xdr:to>
    <xdr:sp>
      <xdr:nvSpPr>
        <xdr:cNvPr id="46" name="Line 140"/>
        <xdr:cNvSpPr>
          <a:spLocks/>
        </xdr:cNvSpPr>
      </xdr:nvSpPr>
      <xdr:spPr>
        <a:xfrm>
          <a:off x="1800225" y="2600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76200</xdr:rowOff>
    </xdr:from>
    <xdr:to>
      <xdr:col>7</xdr:col>
      <xdr:colOff>0</xdr:colOff>
      <xdr:row>12</xdr:row>
      <xdr:rowOff>76200</xdr:rowOff>
    </xdr:to>
    <xdr:sp>
      <xdr:nvSpPr>
        <xdr:cNvPr id="47" name="Line 141"/>
        <xdr:cNvSpPr>
          <a:spLocks/>
        </xdr:cNvSpPr>
      </xdr:nvSpPr>
      <xdr:spPr>
        <a:xfrm>
          <a:off x="1800225" y="2819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190500</xdr:rowOff>
    </xdr:from>
    <xdr:to>
      <xdr:col>7</xdr:col>
      <xdr:colOff>0</xdr:colOff>
      <xdr:row>10</xdr:row>
      <xdr:rowOff>190500</xdr:rowOff>
    </xdr:to>
    <xdr:sp>
      <xdr:nvSpPr>
        <xdr:cNvPr id="48" name="Line 142"/>
        <xdr:cNvSpPr>
          <a:spLocks/>
        </xdr:cNvSpPr>
      </xdr:nvSpPr>
      <xdr:spPr>
        <a:xfrm>
          <a:off x="1800225" y="2476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190500</xdr:rowOff>
    </xdr:from>
    <xdr:to>
      <xdr:col>7</xdr:col>
      <xdr:colOff>0</xdr:colOff>
      <xdr:row>11</xdr:row>
      <xdr:rowOff>190500</xdr:rowOff>
    </xdr:to>
    <xdr:sp>
      <xdr:nvSpPr>
        <xdr:cNvPr id="49" name="Line 143"/>
        <xdr:cNvSpPr>
          <a:spLocks/>
        </xdr:cNvSpPr>
      </xdr:nvSpPr>
      <xdr:spPr>
        <a:xfrm>
          <a:off x="1800225" y="2705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190500</xdr:rowOff>
    </xdr:from>
    <xdr:to>
      <xdr:col>5</xdr:col>
      <xdr:colOff>171450</xdr:colOff>
      <xdr:row>12</xdr:row>
      <xdr:rowOff>190500</xdr:rowOff>
    </xdr:to>
    <xdr:sp>
      <xdr:nvSpPr>
        <xdr:cNvPr id="50" name="Line 150"/>
        <xdr:cNvSpPr>
          <a:spLocks/>
        </xdr:cNvSpPr>
      </xdr:nvSpPr>
      <xdr:spPr>
        <a:xfrm flipH="1">
          <a:off x="1790700" y="24765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190500</xdr:rowOff>
    </xdr:from>
    <xdr:to>
      <xdr:col>7</xdr:col>
      <xdr:colOff>0</xdr:colOff>
      <xdr:row>12</xdr:row>
      <xdr:rowOff>190500</xdr:rowOff>
    </xdr:to>
    <xdr:sp>
      <xdr:nvSpPr>
        <xdr:cNvPr id="51" name="Line 151"/>
        <xdr:cNvSpPr>
          <a:spLocks/>
        </xdr:cNvSpPr>
      </xdr:nvSpPr>
      <xdr:spPr>
        <a:xfrm>
          <a:off x="1800225" y="2933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276225</xdr:colOff>
      <xdr:row>5</xdr:row>
      <xdr:rowOff>219075</xdr:rowOff>
    </xdr:from>
    <xdr:to>
      <xdr:col>9</xdr:col>
      <xdr:colOff>47625</xdr:colOff>
      <xdr:row>15</xdr:row>
      <xdr:rowOff>0</xdr:rowOff>
    </xdr:to>
    <xdr:sp>
      <xdr:nvSpPr>
        <xdr:cNvPr id="52" name="Rectangle 157"/>
        <xdr:cNvSpPr>
          <a:spLocks/>
        </xdr:cNvSpPr>
      </xdr:nvSpPr>
      <xdr:spPr>
        <a:xfrm rot="20194584" flipH="1">
          <a:off x="2867025" y="1362075"/>
          <a:ext cx="95250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152400</xdr:rowOff>
    </xdr:from>
    <xdr:to>
      <xdr:col>7</xdr:col>
      <xdr:colOff>180975</xdr:colOff>
      <xdr:row>5</xdr:row>
      <xdr:rowOff>0</xdr:rowOff>
    </xdr:to>
    <xdr:sp>
      <xdr:nvSpPr>
        <xdr:cNvPr id="53" name="Oval 158"/>
        <xdr:cNvSpPr>
          <a:spLocks/>
        </xdr:cNvSpPr>
      </xdr:nvSpPr>
      <xdr:spPr>
        <a:xfrm>
          <a:off x="2352675" y="10668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16</xdr:col>
      <xdr:colOff>0</xdr:colOff>
      <xdr:row>7</xdr:row>
      <xdr:rowOff>0</xdr:rowOff>
    </xdr:to>
    <xdr:sp>
      <xdr:nvSpPr>
        <xdr:cNvPr id="54" name="Line 159"/>
        <xdr:cNvSpPr>
          <a:spLocks/>
        </xdr:cNvSpPr>
      </xdr:nvSpPr>
      <xdr:spPr>
        <a:xfrm>
          <a:off x="3571875" y="1600200"/>
          <a:ext cx="1609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314325</xdr:colOff>
      <xdr:row>7</xdr:row>
      <xdr:rowOff>0</xdr:rowOff>
    </xdr:from>
    <xdr:to>
      <xdr:col>11</xdr:col>
      <xdr:colOff>0</xdr:colOff>
      <xdr:row>10</xdr:row>
      <xdr:rowOff>38100</xdr:rowOff>
    </xdr:to>
    <xdr:sp>
      <xdr:nvSpPr>
        <xdr:cNvPr id="55" name="Line 160"/>
        <xdr:cNvSpPr>
          <a:spLocks/>
        </xdr:cNvSpPr>
      </xdr:nvSpPr>
      <xdr:spPr>
        <a:xfrm flipH="1">
          <a:off x="2905125" y="1600200"/>
          <a:ext cx="657225" cy="723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5</xdr:col>
      <xdr:colOff>9525</xdr:colOff>
      <xdr:row>7</xdr:row>
      <xdr:rowOff>85725</xdr:rowOff>
    </xdr:to>
    <xdr:sp>
      <xdr:nvSpPr>
        <xdr:cNvPr id="56" name="Line 167"/>
        <xdr:cNvSpPr>
          <a:spLocks/>
        </xdr:cNvSpPr>
      </xdr:nvSpPr>
      <xdr:spPr>
        <a:xfrm flipH="1">
          <a:off x="971550" y="1685925"/>
          <a:ext cx="6572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190500</xdr:rowOff>
    </xdr:from>
    <xdr:to>
      <xdr:col>3</xdr:col>
      <xdr:colOff>0</xdr:colOff>
      <xdr:row>7</xdr:row>
      <xdr:rowOff>85725</xdr:rowOff>
    </xdr:to>
    <xdr:sp>
      <xdr:nvSpPr>
        <xdr:cNvPr id="57" name="Line 169"/>
        <xdr:cNvSpPr>
          <a:spLocks/>
        </xdr:cNvSpPr>
      </xdr:nvSpPr>
      <xdr:spPr>
        <a:xfrm>
          <a:off x="971550" y="1104900"/>
          <a:ext cx="0" cy="5810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4</xdr:row>
      <xdr:rowOff>152400</xdr:rowOff>
    </xdr:from>
    <xdr:to>
      <xdr:col>25</xdr:col>
      <xdr:colOff>0</xdr:colOff>
      <xdr:row>4</xdr:row>
      <xdr:rowOff>152400</xdr:rowOff>
    </xdr:to>
    <xdr:sp>
      <xdr:nvSpPr>
        <xdr:cNvPr id="58" name="Line 170"/>
        <xdr:cNvSpPr>
          <a:spLocks/>
        </xdr:cNvSpPr>
      </xdr:nvSpPr>
      <xdr:spPr>
        <a:xfrm>
          <a:off x="5362575" y="106680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180975</xdr:colOff>
      <xdr:row>4</xdr:row>
      <xdr:rowOff>219075</xdr:rowOff>
    </xdr:from>
    <xdr:to>
      <xdr:col>25</xdr:col>
      <xdr:colOff>0</xdr:colOff>
      <xdr:row>4</xdr:row>
      <xdr:rowOff>219075</xdr:rowOff>
    </xdr:to>
    <xdr:sp>
      <xdr:nvSpPr>
        <xdr:cNvPr id="59" name="Line 171"/>
        <xdr:cNvSpPr>
          <a:spLocks/>
        </xdr:cNvSpPr>
      </xdr:nvSpPr>
      <xdr:spPr>
        <a:xfrm>
          <a:off x="5362575" y="11334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190500</xdr:rowOff>
    </xdr:from>
    <xdr:to>
      <xdr:col>5</xdr:col>
      <xdr:colOff>9525</xdr:colOff>
      <xdr:row>4</xdr:row>
      <xdr:rowOff>190500</xdr:rowOff>
    </xdr:to>
    <xdr:sp>
      <xdr:nvSpPr>
        <xdr:cNvPr id="60" name="Line 175"/>
        <xdr:cNvSpPr>
          <a:spLocks/>
        </xdr:cNvSpPr>
      </xdr:nvSpPr>
      <xdr:spPr>
        <a:xfrm flipH="1">
          <a:off x="971550" y="1104900"/>
          <a:ext cx="6572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152400</xdr:rowOff>
    </xdr:from>
    <xdr:to>
      <xdr:col>7</xdr:col>
      <xdr:colOff>180975</xdr:colOff>
      <xdr:row>10</xdr:row>
      <xdr:rowOff>0</xdr:rowOff>
    </xdr:to>
    <xdr:sp>
      <xdr:nvSpPr>
        <xdr:cNvPr id="61" name="Oval 176"/>
        <xdr:cNvSpPr>
          <a:spLocks/>
        </xdr:cNvSpPr>
      </xdr:nvSpPr>
      <xdr:spPr>
        <a:xfrm>
          <a:off x="2352675" y="22098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4</xdr:row>
      <xdr:rowOff>190500</xdr:rowOff>
    </xdr:from>
    <xdr:to>
      <xdr:col>23</xdr:col>
      <xdr:colOff>152400</xdr:colOff>
      <xdr:row>10</xdr:row>
      <xdr:rowOff>219075</xdr:rowOff>
    </xdr:to>
    <xdr:sp>
      <xdr:nvSpPr>
        <xdr:cNvPr id="1" name="Rectangle 133"/>
        <xdr:cNvSpPr>
          <a:spLocks/>
        </xdr:cNvSpPr>
      </xdr:nvSpPr>
      <xdr:spPr>
        <a:xfrm>
          <a:off x="5981700" y="1104900"/>
          <a:ext cx="1619250" cy="14001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12</xdr:row>
      <xdr:rowOff>161925</xdr:rowOff>
    </xdr:from>
    <xdr:to>
      <xdr:col>27</xdr:col>
      <xdr:colOff>0</xdr:colOff>
      <xdr:row>12</xdr:row>
      <xdr:rowOff>161925</xdr:rowOff>
    </xdr:to>
    <xdr:sp>
      <xdr:nvSpPr>
        <xdr:cNvPr id="2" name="Line 134"/>
        <xdr:cNvSpPr>
          <a:spLocks/>
        </xdr:cNvSpPr>
      </xdr:nvSpPr>
      <xdr:spPr>
        <a:xfrm>
          <a:off x="4857750" y="29051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27</xdr:col>
      <xdr:colOff>0</xdr:colOff>
      <xdr:row>13</xdr:row>
      <xdr:rowOff>0</xdr:rowOff>
    </xdr:to>
    <xdr:sp>
      <xdr:nvSpPr>
        <xdr:cNvPr id="3" name="Line 135"/>
        <xdr:cNvSpPr>
          <a:spLocks/>
        </xdr:cNvSpPr>
      </xdr:nvSpPr>
      <xdr:spPr>
        <a:xfrm>
          <a:off x="4857750" y="297180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4" name="Line 136"/>
        <xdr:cNvSpPr>
          <a:spLocks/>
        </xdr:cNvSpPr>
      </xdr:nvSpPr>
      <xdr:spPr>
        <a:xfrm>
          <a:off x="4857750" y="342900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57150</xdr:rowOff>
    </xdr:from>
    <xdr:to>
      <xdr:col>27</xdr:col>
      <xdr:colOff>0</xdr:colOff>
      <xdr:row>15</xdr:row>
      <xdr:rowOff>57150</xdr:rowOff>
    </xdr:to>
    <xdr:sp>
      <xdr:nvSpPr>
        <xdr:cNvPr id="5" name="Line 137"/>
        <xdr:cNvSpPr>
          <a:spLocks/>
        </xdr:cNvSpPr>
      </xdr:nvSpPr>
      <xdr:spPr>
        <a:xfrm>
          <a:off x="4857750" y="348615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276225</xdr:colOff>
      <xdr:row>4</xdr:row>
      <xdr:rowOff>76200</xdr:rowOff>
    </xdr:from>
    <xdr:to>
      <xdr:col>26</xdr:col>
      <xdr:colOff>9525</xdr:colOff>
      <xdr:row>15</xdr:row>
      <xdr:rowOff>142875</xdr:rowOff>
    </xdr:to>
    <xdr:grpSp>
      <xdr:nvGrpSpPr>
        <xdr:cNvPr id="6" name="Group 202"/>
        <xdr:cNvGrpSpPr>
          <a:grpSpLocks/>
        </xdr:cNvGrpSpPr>
      </xdr:nvGrpSpPr>
      <xdr:grpSpPr>
        <a:xfrm>
          <a:off x="8372475" y="990600"/>
          <a:ext cx="57150" cy="2581275"/>
          <a:chOff x="698" y="129"/>
          <a:chExt cx="6" cy="174"/>
        </a:xfrm>
        <a:solidFill>
          <a:srgbClr val="FFFFFF"/>
        </a:solidFill>
      </xdr:grpSpPr>
      <xdr:sp>
        <xdr:nvSpPr>
          <xdr:cNvPr id="7" name="Line 138"/>
          <xdr:cNvSpPr>
            <a:spLocks/>
          </xdr:cNvSpPr>
        </xdr:nvSpPr>
        <xdr:spPr>
          <a:xfrm>
            <a:off x="704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139"/>
          <xdr:cNvSpPr>
            <a:spLocks/>
          </xdr:cNvSpPr>
        </xdr:nvSpPr>
        <xdr:spPr>
          <a:xfrm>
            <a:off x="698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Line 140"/>
          <xdr:cNvSpPr>
            <a:spLocks/>
          </xdr:cNvSpPr>
        </xdr:nvSpPr>
        <xdr:spPr>
          <a:xfrm flipV="1">
            <a:off x="698" y="12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41"/>
          <xdr:cNvSpPr>
            <a:spLocks/>
          </xdr:cNvSpPr>
        </xdr:nvSpPr>
        <xdr:spPr>
          <a:xfrm flipV="1">
            <a:off x="698" y="30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285750</xdr:colOff>
      <xdr:row>4</xdr:row>
      <xdr:rowOff>76200</xdr:rowOff>
    </xdr:from>
    <xdr:to>
      <xdr:col>16</xdr:col>
      <xdr:colOff>38100</xdr:colOff>
      <xdr:row>15</xdr:row>
      <xdr:rowOff>142875</xdr:rowOff>
    </xdr:to>
    <xdr:grpSp>
      <xdr:nvGrpSpPr>
        <xdr:cNvPr id="11" name="Group 201"/>
        <xdr:cNvGrpSpPr>
          <a:grpSpLocks/>
        </xdr:cNvGrpSpPr>
      </xdr:nvGrpSpPr>
      <xdr:grpSpPr>
        <a:xfrm>
          <a:off x="5143500" y="990600"/>
          <a:ext cx="76200" cy="2581275"/>
          <a:chOff x="486" y="129"/>
          <a:chExt cx="6" cy="174"/>
        </a:xfrm>
        <a:solidFill>
          <a:srgbClr val="FFFFFF"/>
        </a:solidFill>
      </xdr:grpSpPr>
      <xdr:sp>
        <xdr:nvSpPr>
          <xdr:cNvPr id="12" name="Line 142"/>
          <xdr:cNvSpPr>
            <a:spLocks/>
          </xdr:cNvSpPr>
        </xdr:nvSpPr>
        <xdr:spPr>
          <a:xfrm>
            <a:off x="492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486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144"/>
          <xdr:cNvSpPr>
            <a:spLocks/>
          </xdr:cNvSpPr>
        </xdr:nvSpPr>
        <xdr:spPr>
          <a:xfrm flipV="1">
            <a:off x="486" y="12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45"/>
          <xdr:cNvSpPr>
            <a:spLocks/>
          </xdr:cNvSpPr>
        </xdr:nvSpPr>
        <xdr:spPr>
          <a:xfrm flipV="1">
            <a:off x="486" y="30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7</xdr:row>
      <xdr:rowOff>161925</xdr:rowOff>
    </xdr:from>
    <xdr:to>
      <xdr:col>27</xdr:col>
      <xdr:colOff>0</xdr:colOff>
      <xdr:row>7</xdr:row>
      <xdr:rowOff>161925</xdr:rowOff>
    </xdr:to>
    <xdr:sp>
      <xdr:nvSpPr>
        <xdr:cNvPr id="16" name="Line 146"/>
        <xdr:cNvSpPr>
          <a:spLocks/>
        </xdr:cNvSpPr>
      </xdr:nvSpPr>
      <xdr:spPr>
        <a:xfrm>
          <a:off x="4857750" y="17621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219075</xdr:rowOff>
    </xdr:from>
    <xdr:to>
      <xdr:col>27</xdr:col>
      <xdr:colOff>0</xdr:colOff>
      <xdr:row>7</xdr:row>
      <xdr:rowOff>219075</xdr:rowOff>
    </xdr:to>
    <xdr:sp>
      <xdr:nvSpPr>
        <xdr:cNvPr id="17" name="Line 147"/>
        <xdr:cNvSpPr>
          <a:spLocks/>
        </xdr:cNvSpPr>
      </xdr:nvSpPr>
      <xdr:spPr>
        <a:xfrm>
          <a:off x="4857750" y="181927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0</xdr:colOff>
      <xdr:row>6</xdr:row>
      <xdr:rowOff>0</xdr:rowOff>
    </xdr:to>
    <xdr:sp>
      <xdr:nvSpPr>
        <xdr:cNvPr id="18" name="Line 148"/>
        <xdr:cNvSpPr>
          <a:spLocks/>
        </xdr:cNvSpPr>
      </xdr:nvSpPr>
      <xdr:spPr>
        <a:xfrm flipH="1">
          <a:off x="7124700" y="685800"/>
          <a:ext cx="32385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26</xdr:col>
      <xdr:colOff>38100</xdr:colOff>
      <xdr:row>3</xdr:row>
      <xdr:rowOff>0</xdr:rowOff>
    </xdr:to>
    <xdr:sp>
      <xdr:nvSpPr>
        <xdr:cNvPr id="19" name="Line 149"/>
        <xdr:cNvSpPr>
          <a:spLocks/>
        </xdr:cNvSpPr>
      </xdr:nvSpPr>
      <xdr:spPr>
        <a:xfrm>
          <a:off x="7448550" y="685800"/>
          <a:ext cx="10096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180975</xdr:colOff>
      <xdr:row>14</xdr:row>
      <xdr:rowOff>28575</xdr:rowOff>
    </xdr:from>
    <xdr:to>
      <xdr:col>18</xdr:col>
      <xdr:colOff>180975</xdr:colOff>
      <xdr:row>18</xdr:row>
      <xdr:rowOff>0</xdr:rowOff>
    </xdr:to>
    <xdr:sp>
      <xdr:nvSpPr>
        <xdr:cNvPr id="20" name="Line 150"/>
        <xdr:cNvSpPr>
          <a:spLocks/>
        </xdr:cNvSpPr>
      </xdr:nvSpPr>
      <xdr:spPr>
        <a:xfrm>
          <a:off x="6010275" y="3228975"/>
          <a:ext cx="0" cy="8858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28575</xdr:rowOff>
    </xdr:from>
    <xdr:to>
      <xdr:col>23</xdr:col>
      <xdr:colOff>152400</xdr:colOff>
      <xdr:row>18</xdr:row>
      <xdr:rowOff>0</xdr:rowOff>
    </xdr:to>
    <xdr:sp>
      <xdr:nvSpPr>
        <xdr:cNvPr id="21" name="Line 151"/>
        <xdr:cNvSpPr>
          <a:spLocks/>
        </xdr:cNvSpPr>
      </xdr:nvSpPr>
      <xdr:spPr>
        <a:xfrm>
          <a:off x="7600950" y="3228975"/>
          <a:ext cx="0" cy="8858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180975</xdr:colOff>
      <xdr:row>18</xdr:row>
      <xdr:rowOff>0</xdr:rowOff>
    </xdr:from>
    <xdr:to>
      <xdr:col>23</xdr:col>
      <xdr:colOff>152400</xdr:colOff>
      <xdr:row>18</xdr:row>
      <xdr:rowOff>0</xdr:rowOff>
    </xdr:to>
    <xdr:sp>
      <xdr:nvSpPr>
        <xdr:cNvPr id="22" name="Line 152"/>
        <xdr:cNvSpPr>
          <a:spLocks/>
        </xdr:cNvSpPr>
      </xdr:nvSpPr>
      <xdr:spPr>
        <a:xfrm>
          <a:off x="6010275" y="4114800"/>
          <a:ext cx="15906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180975</xdr:rowOff>
    </xdr:from>
    <xdr:to>
      <xdr:col>27</xdr:col>
      <xdr:colOff>0</xdr:colOff>
      <xdr:row>10</xdr:row>
      <xdr:rowOff>180975</xdr:rowOff>
    </xdr:to>
    <xdr:sp>
      <xdr:nvSpPr>
        <xdr:cNvPr id="23" name="Line 153"/>
        <xdr:cNvSpPr>
          <a:spLocks/>
        </xdr:cNvSpPr>
      </xdr:nvSpPr>
      <xdr:spPr>
        <a:xfrm>
          <a:off x="4857750" y="246697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27</xdr:col>
      <xdr:colOff>0</xdr:colOff>
      <xdr:row>11</xdr:row>
      <xdr:rowOff>0</xdr:rowOff>
    </xdr:to>
    <xdr:sp>
      <xdr:nvSpPr>
        <xdr:cNvPr id="24" name="Line 154"/>
        <xdr:cNvSpPr>
          <a:spLocks/>
        </xdr:cNvSpPr>
      </xdr:nvSpPr>
      <xdr:spPr>
        <a:xfrm>
          <a:off x="4857750" y="251460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285750</xdr:colOff>
      <xdr:row>4</xdr:row>
      <xdr:rowOff>76200</xdr:rowOff>
    </xdr:from>
    <xdr:to>
      <xdr:col>21</xdr:col>
      <xdr:colOff>38100</xdr:colOff>
      <xdr:row>15</xdr:row>
      <xdr:rowOff>161925</xdr:rowOff>
    </xdr:to>
    <xdr:grpSp>
      <xdr:nvGrpSpPr>
        <xdr:cNvPr id="25" name="Group 203"/>
        <xdr:cNvGrpSpPr>
          <a:grpSpLocks/>
        </xdr:cNvGrpSpPr>
      </xdr:nvGrpSpPr>
      <xdr:grpSpPr>
        <a:xfrm>
          <a:off x="6762750" y="990600"/>
          <a:ext cx="76200" cy="2600325"/>
          <a:chOff x="698" y="129"/>
          <a:chExt cx="6" cy="174"/>
        </a:xfrm>
        <a:solidFill>
          <a:srgbClr val="FFFFFF"/>
        </a:solidFill>
      </xdr:grpSpPr>
      <xdr:sp>
        <xdr:nvSpPr>
          <xdr:cNvPr id="26" name="Line 204"/>
          <xdr:cNvSpPr>
            <a:spLocks/>
          </xdr:cNvSpPr>
        </xdr:nvSpPr>
        <xdr:spPr>
          <a:xfrm>
            <a:off x="704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05"/>
          <xdr:cNvSpPr>
            <a:spLocks/>
          </xdr:cNvSpPr>
        </xdr:nvSpPr>
        <xdr:spPr>
          <a:xfrm>
            <a:off x="698" y="129"/>
            <a:ext cx="0" cy="1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206"/>
          <xdr:cNvSpPr>
            <a:spLocks/>
          </xdr:cNvSpPr>
        </xdr:nvSpPr>
        <xdr:spPr>
          <a:xfrm flipV="1">
            <a:off x="698" y="129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207"/>
          <xdr:cNvSpPr>
            <a:spLocks/>
          </xdr:cNvSpPr>
        </xdr:nvSpPr>
        <xdr:spPr>
          <a:xfrm flipV="1">
            <a:off x="698" y="30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76200</xdr:rowOff>
    </xdr:from>
    <xdr:to>
      <xdr:col>7</xdr:col>
      <xdr:colOff>85725</xdr:colOff>
      <xdr:row>15</xdr:row>
      <xdr:rowOff>209550</xdr:rowOff>
    </xdr:to>
    <xdr:sp>
      <xdr:nvSpPr>
        <xdr:cNvPr id="30" name="Rectangle 155"/>
        <xdr:cNvSpPr>
          <a:spLocks/>
        </xdr:cNvSpPr>
      </xdr:nvSpPr>
      <xdr:spPr>
        <a:xfrm>
          <a:off x="2266950" y="990600"/>
          <a:ext cx="85725" cy="2647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14</xdr:col>
      <xdr:colOff>190500</xdr:colOff>
      <xdr:row>15</xdr:row>
      <xdr:rowOff>0</xdr:rowOff>
    </xdr:to>
    <xdr:sp>
      <xdr:nvSpPr>
        <xdr:cNvPr id="31" name="Line 156"/>
        <xdr:cNvSpPr>
          <a:spLocks/>
        </xdr:cNvSpPr>
      </xdr:nvSpPr>
      <xdr:spPr>
        <a:xfrm>
          <a:off x="2181225" y="342900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57150</xdr:rowOff>
    </xdr:from>
    <xdr:to>
      <xdr:col>14</xdr:col>
      <xdr:colOff>190500</xdr:colOff>
      <xdr:row>15</xdr:row>
      <xdr:rowOff>57150</xdr:rowOff>
    </xdr:to>
    <xdr:sp>
      <xdr:nvSpPr>
        <xdr:cNvPr id="32" name="Line 157"/>
        <xdr:cNvSpPr>
          <a:spLocks/>
        </xdr:cNvSpPr>
      </xdr:nvSpPr>
      <xdr:spPr>
        <a:xfrm flipV="1">
          <a:off x="2181225" y="348615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238125</xdr:colOff>
      <xdr:row>15</xdr:row>
      <xdr:rowOff>57150</xdr:rowOff>
    </xdr:to>
    <xdr:sp>
      <xdr:nvSpPr>
        <xdr:cNvPr id="33" name="Line 158"/>
        <xdr:cNvSpPr>
          <a:spLocks/>
        </xdr:cNvSpPr>
      </xdr:nvSpPr>
      <xdr:spPr>
        <a:xfrm>
          <a:off x="2181225" y="34290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152400</xdr:rowOff>
    </xdr:from>
    <xdr:to>
      <xdr:col>7</xdr:col>
      <xdr:colOff>180975</xdr:colOff>
      <xdr:row>15</xdr:row>
      <xdr:rowOff>0</xdr:rowOff>
    </xdr:to>
    <xdr:sp>
      <xdr:nvSpPr>
        <xdr:cNvPr id="34" name="Oval 159"/>
        <xdr:cNvSpPr>
          <a:spLocks/>
        </xdr:cNvSpPr>
      </xdr:nvSpPr>
      <xdr:spPr>
        <a:xfrm flipH="1">
          <a:off x="2352675" y="33528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12</xdr:row>
      <xdr:rowOff>152400</xdr:rowOff>
    </xdr:from>
    <xdr:to>
      <xdr:col>7</xdr:col>
      <xdr:colOff>180975</xdr:colOff>
      <xdr:row>13</xdr:row>
      <xdr:rowOff>0</xdr:rowOff>
    </xdr:to>
    <xdr:sp>
      <xdr:nvSpPr>
        <xdr:cNvPr id="35" name="Oval 160"/>
        <xdr:cNvSpPr>
          <a:spLocks/>
        </xdr:cNvSpPr>
      </xdr:nvSpPr>
      <xdr:spPr>
        <a:xfrm>
          <a:off x="2352675" y="28956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180975</xdr:rowOff>
    </xdr:from>
    <xdr:to>
      <xdr:col>6</xdr:col>
      <xdr:colOff>180975</xdr:colOff>
      <xdr:row>10</xdr:row>
      <xdr:rowOff>180975</xdr:rowOff>
    </xdr:to>
    <xdr:sp>
      <xdr:nvSpPr>
        <xdr:cNvPr id="36" name="Line 162"/>
        <xdr:cNvSpPr>
          <a:spLocks/>
        </xdr:cNvSpPr>
      </xdr:nvSpPr>
      <xdr:spPr>
        <a:xfrm flipH="1">
          <a:off x="971550" y="2466975"/>
          <a:ext cx="1152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190500</xdr:colOff>
      <xdr:row>14</xdr:row>
      <xdr:rowOff>190500</xdr:rowOff>
    </xdr:from>
    <xdr:to>
      <xdr:col>9</xdr:col>
      <xdr:colOff>28575</xdr:colOff>
      <xdr:row>15</xdr:row>
      <xdr:rowOff>0</xdr:rowOff>
    </xdr:to>
    <xdr:grpSp>
      <xdr:nvGrpSpPr>
        <xdr:cNvPr id="37" name="Group 163"/>
        <xdr:cNvGrpSpPr>
          <a:grpSpLocks/>
        </xdr:cNvGrpSpPr>
      </xdr:nvGrpSpPr>
      <xdr:grpSpPr>
        <a:xfrm>
          <a:off x="2457450" y="3390900"/>
          <a:ext cx="485775" cy="38100"/>
          <a:chOff x="-1803" y="-401564"/>
          <a:chExt cx="11466" cy="33"/>
        </a:xfrm>
        <a:solidFill>
          <a:srgbClr val="FFFFFF"/>
        </a:solidFill>
      </xdr:grpSpPr>
      <xdr:sp>
        <xdr:nvSpPr>
          <xdr:cNvPr id="38" name="Rectangle 164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9" name="Rectangle 165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190500</xdr:rowOff>
    </xdr:from>
    <xdr:to>
      <xdr:col>10</xdr:col>
      <xdr:colOff>190500</xdr:colOff>
      <xdr:row>15</xdr:row>
      <xdr:rowOff>0</xdr:rowOff>
    </xdr:to>
    <xdr:grpSp>
      <xdr:nvGrpSpPr>
        <xdr:cNvPr id="40" name="Group 166"/>
        <xdr:cNvGrpSpPr>
          <a:grpSpLocks/>
        </xdr:cNvGrpSpPr>
      </xdr:nvGrpSpPr>
      <xdr:grpSpPr>
        <a:xfrm>
          <a:off x="2914650" y="3390900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41" name="Rectangle 167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Rectangle 168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14</xdr:row>
      <xdr:rowOff>190500</xdr:rowOff>
    </xdr:from>
    <xdr:to>
      <xdr:col>12</xdr:col>
      <xdr:colOff>28575</xdr:colOff>
      <xdr:row>15</xdr:row>
      <xdr:rowOff>0</xdr:rowOff>
    </xdr:to>
    <xdr:grpSp>
      <xdr:nvGrpSpPr>
        <xdr:cNvPr id="43" name="Group 169"/>
        <xdr:cNvGrpSpPr>
          <a:grpSpLocks/>
        </xdr:cNvGrpSpPr>
      </xdr:nvGrpSpPr>
      <xdr:grpSpPr>
        <a:xfrm>
          <a:off x="3429000" y="3390900"/>
          <a:ext cx="485775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44" name="Rectangle 170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Rectangle 171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14</xdr:row>
      <xdr:rowOff>190500</xdr:rowOff>
    </xdr:from>
    <xdr:to>
      <xdr:col>13</xdr:col>
      <xdr:colOff>190500</xdr:colOff>
      <xdr:row>15</xdr:row>
      <xdr:rowOff>0</xdr:rowOff>
    </xdr:to>
    <xdr:grpSp>
      <xdr:nvGrpSpPr>
        <xdr:cNvPr id="46" name="Group 172"/>
        <xdr:cNvGrpSpPr>
          <a:grpSpLocks/>
        </xdr:cNvGrpSpPr>
      </xdr:nvGrpSpPr>
      <xdr:grpSpPr>
        <a:xfrm>
          <a:off x="3895725" y="3390900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47" name="Rectangle 173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Rectangle 174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190500</xdr:rowOff>
    </xdr:from>
    <xdr:to>
      <xdr:col>5</xdr:col>
      <xdr:colOff>9525</xdr:colOff>
      <xdr:row>4</xdr:row>
      <xdr:rowOff>190500</xdr:rowOff>
    </xdr:to>
    <xdr:sp>
      <xdr:nvSpPr>
        <xdr:cNvPr id="49" name="Line 178"/>
        <xdr:cNvSpPr>
          <a:spLocks/>
        </xdr:cNvSpPr>
      </xdr:nvSpPr>
      <xdr:spPr>
        <a:xfrm flipH="1">
          <a:off x="971550" y="1104900"/>
          <a:ext cx="6572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152400</xdr:rowOff>
    </xdr:from>
    <xdr:to>
      <xdr:col>7</xdr:col>
      <xdr:colOff>219075</xdr:colOff>
      <xdr:row>14</xdr:row>
      <xdr:rowOff>152400</xdr:rowOff>
    </xdr:to>
    <xdr:sp>
      <xdr:nvSpPr>
        <xdr:cNvPr id="50" name="Rectangle 179"/>
        <xdr:cNvSpPr>
          <a:spLocks/>
        </xdr:cNvSpPr>
      </xdr:nvSpPr>
      <xdr:spPr>
        <a:xfrm>
          <a:off x="2447925" y="2438400"/>
          <a:ext cx="381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190500</xdr:rowOff>
    </xdr:from>
    <xdr:to>
      <xdr:col>3</xdr:col>
      <xdr:colOff>0</xdr:colOff>
      <xdr:row>10</xdr:row>
      <xdr:rowOff>180975</xdr:rowOff>
    </xdr:to>
    <xdr:sp>
      <xdr:nvSpPr>
        <xdr:cNvPr id="51" name="Line 180"/>
        <xdr:cNvSpPr>
          <a:spLocks/>
        </xdr:cNvSpPr>
      </xdr:nvSpPr>
      <xdr:spPr>
        <a:xfrm>
          <a:off x="971550" y="1104900"/>
          <a:ext cx="0" cy="13620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152400</xdr:rowOff>
    </xdr:from>
    <xdr:to>
      <xdr:col>7</xdr:col>
      <xdr:colOff>180975</xdr:colOff>
      <xdr:row>11</xdr:row>
      <xdr:rowOff>0</xdr:rowOff>
    </xdr:to>
    <xdr:sp>
      <xdr:nvSpPr>
        <xdr:cNvPr id="52" name="Oval 181"/>
        <xdr:cNvSpPr>
          <a:spLocks/>
        </xdr:cNvSpPr>
      </xdr:nvSpPr>
      <xdr:spPr>
        <a:xfrm>
          <a:off x="2352675" y="24384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95250</xdr:rowOff>
    </xdr:from>
    <xdr:to>
      <xdr:col>9</xdr:col>
      <xdr:colOff>95250</xdr:colOff>
      <xdr:row>16</xdr:row>
      <xdr:rowOff>47625</xdr:rowOff>
    </xdr:to>
    <xdr:sp>
      <xdr:nvSpPr>
        <xdr:cNvPr id="53" name="Rectangle 200"/>
        <xdr:cNvSpPr>
          <a:spLocks/>
        </xdr:cNvSpPr>
      </xdr:nvSpPr>
      <xdr:spPr>
        <a:xfrm rot="20104414">
          <a:off x="2914650" y="1466850"/>
          <a:ext cx="95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13</xdr:col>
      <xdr:colOff>190500</xdr:colOff>
      <xdr:row>13</xdr:row>
      <xdr:rowOff>0</xdr:rowOff>
    </xdr:to>
    <xdr:sp>
      <xdr:nvSpPr>
        <xdr:cNvPr id="54" name="Line 208"/>
        <xdr:cNvSpPr>
          <a:spLocks/>
        </xdr:cNvSpPr>
      </xdr:nvSpPr>
      <xdr:spPr>
        <a:xfrm flipH="1">
          <a:off x="3562350" y="2971800"/>
          <a:ext cx="838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152400</xdr:colOff>
      <xdr:row>11</xdr:row>
      <xdr:rowOff>142875</xdr:rowOff>
    </xdr:from>
    <xdr:to>
      <xdr:col>11</xdr:col>
      <xdr:colOff>0</xdr:colOff>
      <xdr:row>13</xdr:row>
      <xdr:rowOff>0</xdr:rowOff>
    </xdr:to>
    <xdr:sp>
      <xdr:nvSpPr>
        <xdr:cNvPr id="55" name="Line 209"/>
        <xdr:cNvSpPr>
          <a:spLocks/>
        </xdr:cNvSpPr>
      </xdr:nvSpPr>
      <xdr:spPr>
        <a:xfrm flipH="1" flipV="1">
          <a:off x="3067050" y="2657475"/>
          <a:ext cx="4953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152400</xdr:rowOff>
    </xdr:from>
    <xdr:to>
      <xdr:col>7</xdr:col>
      <xdr:colOff>180975</xdr:colOff>
      <xdr:row>5</xdr:row>
      <xdr:rowOff>0</xdr:rowOff>
    </xdr:to>
    <xdr:sp>
      <xdr:nvSpPr>
        <xdr:cNvPr id="56" name="Oval 214"/>
        <xdr:cNvSpPr>
          <a:spLocks/>
        </xdr:cNvSpPr>
      </xdr:nvSpPr>
      <xdr:spPr>
        <a:xfrm>
          <a:off x="2352675" y="10668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152400</xdr:rowOff>
    </xdr:from>
    <xdr:to>
      <xdr:col>7</xdr:col>
      <xdr:colOff>180975</xdr:colOff>
      <xdr:row>8</xdr:row>
      <xdr:rowOff>0</xdr:rowOff>
    </xdr:to>
    <xdr:sp>
      <xdr:nvSpPr>
        <xdr:cNvPr id="57" name="Oval 217"/>
        <xdr:cNvSpPr>
          <a:spLocks/>
        </xdr:cNvSpPr>
      </xdr:nvSpPr>
      <xdr:spPr>
        <a:xfrm>
          <a:off x="2352675" y="17526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104775</xdr:rowOff>
    </xdr:from>
    <xdr:to>
      <xdr:col>11</xdr:col>
      <xdr:colOff>104775</xdr:colOff>
      <xdr:row>10</xdr:row>
      <xdr:rowOff>152400</xdr:rowOff>
    </xdr:to>
    <xdr:sp>
      <xdr:nvSpPr>
        <xdr:cNvPr id="58" name="Line 219"/>
        <xdr:cNvSpPr>
          <a:spLocks/>
        </xdr:cNvSpPr>
      </xdr:nvSpPr>
      <xdr:spPr>
        <a:xfrm flipV="1">
          <a:off x="2409825" y="1476375"/>
          <a:ext cx="125730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171450</xdr:colOff>
      <xdr:row>4</xdr:row>
      <xdr:rowOff>190500</xdr:rowOff>
    </xdr:from>
    <xdr:to>
      <xdr:col>7</xdr:col>
      <xdr:colOff>0</xdr:colOff>
      <xdr:row>7</xdr:row>
      <xdr:rowOff>200025</xdr:rowOff>
    </xdr:to>
    <xdr:grpSp>
      <xdr:nvGrpSpPr>
        <xdr:cNvPr id="59" name="Group 230"/>
        <xdr:cNvGrpSpPr>
          <a:grpSpLocks/>
        </xdr:cNvGrpSpPr>
      </xdr:nvGrpSpPr>
      <xdr:grpSpPr>
        <a:xfrm>
          <a:off x="1790700" y="1104900"/>
          <a:ext cx="476250" cy="695325"/>
          <a:chOff x="149" y="44"/>
          <a:chExt cx="40" cy="73"/>
        </a:xfrm>
        <a:solidFill>
          <a:srgbClr val="FFFFFF"/>
        </a:solidFill>
      </xdr:grpSpPr>
      <xdr:sp>
        <xdr:nvSpPr>
          <xdr:cNvPr id="60" name="Line 183"/>
          <xdr:cNvSpPr>
            <a:spLocks/>
          </xdr:cNvSpPr>
        </xdr:nvSpPr>
        <xdr:spPr>
          <a:xfrm>
            <a:off x="150" y="5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184"/>
          <xdr:cNvSpPr>
            <a:spLocks/>
          </xdr:cNvSpPr>
        </xdr:nvSpPr>
        <xdr:spPr>
          <a:xfrm>
            <a:off x="150" y="81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185"/>
          <xdr:cNvSpPr>
            <a:spLocks/>
          </xdr:cNvSpPr>
        </xdr:nvSpPr>
        <xdr:spPr>
          <a:xfrm>
            <a:off x="150" y="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186"/>
          <xdr:cNvSpPr>
            <a:spLocks/>
          </xdr:cNvSpPr>
        </xdr:nvSpPr>
        <xdr:spPr>
          <a:xfrm>
            <a:off x="150" y="6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187"/>
          <xdr:cNvSpPr>
            <a:spLocks/>
          </xdr:cNvSpPr>
        </xdr:nvSpPr>
        <xdr:spPr>
          <a:xfrm flipH="1">
            <a:off x="149" y="44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222"/>
          <xdr:cNvSpPr>
            <a:spLocks/>
          </xdr:cNvSpPr>
        </xdr:nvSpPr>
        <xdr:spPr>
          <a:xfrm>
            <a:off x="149" y="9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228"/>
          <xdr:cNvSpPr>
            <a:spLocks/>
          </xdr:cNvSpPr>
        </xdr:nvSpPr>
        <xdr:spPr>
          <a:xfrm>
            <a:off x="150" y="10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229"/>
          <xdr:cNvSpPr>
            <a:spLocks/>
          </xdr:cNvSpPr>
        </xdr:nvSpPr>
        <xdr:spPr>
          <a:xfrm>
            <a:off x="150" y="11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4</xdr:row>
      <xdr:rowOff>190500</xdr:rowOff>
    </xdr:from>
    <xdr:to>
      <xdr:col>9</xdr:col>
      <xdr:colOff>76200</xdr:colOff>
      <xdr:row>7</xdr:row>
      <xdr:rowOff>200025</xdr:rowOff>
    </xdr:to>
    <xdr:grpSp>
      <xdr:nvGrpSpPr>
        <xdr:cNvPr id="68" name="Group 231"/>
        <xdr:cNvGrpSpPr>
          <a:grpSpLocks/>
        </xdr:cNvGrpSpPr>
      </xdr:nvGrpSpPr>
      <xdr:grpSpPr>
        <a:xfrm flipH="1">
          <a:off x="2505075" y="1104900"/>
          <a:ext cx="485775" cy="695325"/>
          <a:chOff x="149" y="44"/>
          <a:chExt cx="40" cy="73"/>
        </a:xfrm>
        <a:solidFill>
          <a:srgbClr val="FFFFFF"/>
        </a:solidFill>
      </xdr:grpSpPr>
      <xdr:sp>
        <xdr:nvSpPr>
          <xdr:cNvPr id="69" name="Line 232"/>
          <xdr:cNvSpPr>
            <a:spLocks/>
          </xdr:cNvSpPr>
        </xdr:nvSpPr>
        <xdr:spPr>
          <a:xfrm>
            <a:off x="150" y="5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233"/>
          <xdr:cNvSpPr>
            <a:spLocks/>
          </xdr:cNvSpPr>
        </xdr:nvSpPr>
        <xdr:spPr>
          <a:xfrm>
            <a:off x="150" y="81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234"/>
          <xdr:cNvSpPr>
            <a:spLocks/>
          </xdr:cNvSpPr>
        </xdr:nvSpPr>
        <xdr:spPr>
          <a:xfrm>
            <a:off x="150" y="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235"/>
          <xdr:cNvSpPr>
            <a:spLocks/>
          </xdr:cNvSpPr>
        </xdr:nvSpPr>
        <xdr:spPr>
          <a:xfrm>
            <a:off x="150" y="6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236"/>
          <xdr:cNvSpPr>
            <a:spLocks/>
          </xdr:cNvSpPr>
        </xdr:nvSpPr>
        <xdr:spPr>
          <a:xfrm flipH="1">
            <a:off x="149" y="44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237"/>
          <xdr:cNvSpPr>
            <a:spLocks/>
          </xdr:cNvSpPr>
        </xdr:nvSpPr>
        <xdr:spPr>
          <a:xfrm>
            <a:off x="149" y="9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238"/>
          <xdr:cNvSpPr>
            <a:spLocks/>
          </xdr:cNvSpPr>
        </xdr:nvSpPr>
        <xdr:spPr>
          <a:xfrm>
            <a:off x="150" y="10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239"/>
          <xdr:cNvSpPr>
            <a:spLocks/>
          </xdr:cNvSpPr>
        </xdr:nvSpPr>
        <xdr:spPr>
          <a:xfrm>
            <a:off x="150" y="11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7</xdr:row>
      <xdr:rowOff>190500</xdr:rowOff>
    </xdr:from>
    <xdr:to>
      <xdr:col>9</xdr:col>
      <xdr:colOff>76200</xdr:colOff>
      <xdr:row>10</xdr:row>
      <xdr:rowOff>200025</xdr:rowOff>
    </xdr:to>
    <xdr:grpSp>
      <xdr:nvGrpSpPr>
        <xdr:cNvPr id="77" name="Group 240"/>
        <xdr:cNvGrpSpPr>
          <a:grpSpLocks/>
        </xdr:cNvGrpSpPr>
      </xdr:nvGrpSpPr>
      <xdr:grpSpPr>
        <a:xfrm flipH="1">
          <a:off x="2505075" y="1790700"/>
          <a:ext cx="485775" cy="695325"/>
          <a:chOff x="149" y="44"/>
          <a:chExt cx="40" cy="73"/>
        </a:xfrm>
        <a:solidFill>
          <a:srgbClr val="FFFFFF"/>
        </a:solidFill>
      </xdr:grpSpPr>
      <xdr:sp>
        <xdr:nvSpPr>
          <xdr:cNvPr id="78" name="Line 241"/>
          <xdr:cNvSpPr>
            <a:spLocks/>
          </xdr:cNvSpPr>
        </xdr:nvSpPr>
        <xdr:spPr>
          <a:xfrm>
            <a:off x="150" y="57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242"/>
          <xdr:cNvSpPr>
            <a:spLocks/>
          </xdr:cNvSpPr>
        </xdr:nvSpPr>
        <xdr:spPr>
          <a:xfrm>
            <a:off x="150" y="81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243"/>
          <xdr:cNvSpPr>
            <a:spLocks/>
          </xdr:cNvSpPr>
        </xdr:nvSpPr>
        <xdr:spPr>
          <a:xfrm>
            <a:off x="150" y="44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244"/>
          <xdr:cNvSpPr>
            <a:spLocks/>
          </xdr:cNvSpPr>
        </xdr:nvSpPr>
        <xdr:spPr>
          <a:xfrm>
            <a:off x="150" y="69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Line 245"/>
          <xdr:cNvSpPr>
            <a:spLocks/>
          </xdr:cNvSpPr>
        </xdr:nvSpPr>
        <xdr:spPr>
          <a:xfrm flipH="1">
            <a:off x="149" y="44"/>
            <a:ext cx="0" cy="7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Line 246"/>
          <xdr:cNvSpPr>
            <a:spLocks/>
          </xdr:cNvSpPr>
        </xdr:nvSpPr>
        <xdr:spPr>
          <a:xfrm>
            <a:off x="149" y="9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Line 247"/>
          <xdr:cNvSpPr>
            <a:spLocks/>
          </xdr:cNvSpPr>
        </xdr:nvSpPr>
        <xdr:spPr>
          <a:xfrm>
            <a:off x="150" y="10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248"/>
          <xdr:cNvSpPr>
            <a:spLocks/>
          </xdr:cNvSpPr>
        </xdr:nvSpPr>
        <xdr:spPr>
          <a:xfrm>
            <a:off x="150" y="11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</xdr:row>
      <xdr:rowOff>161925</xdr:rowOff>
    </xdr:from>
    <xdr:to>
      <xdr:col>27</xdr:col>
      <xdr:colOff>0</xdr:colOff>
      <xdr:row>4</xdr:row>
      <xdr:rowOff>161925</xdr:rowOff>
    </xdr:to>
    <xdr:sp>
      <xdr:nvSpPr>
        <xdr:cNvPr id="86" name="Line 249"/>
        <xdr:cNvSpPr>
          <a:spLocks/>
        </xdr:cNvSpPr>
      </xdr:nvSpPr>
      <xdr:spPr>
        <a:xfrm>
          <a:off x="4857750" y="10763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219075</xdr:rowOff>
    </xdr:from>
    <xdr:to>
      <xdr:col>27</xdr:col>
      <xdr:colOff>0</xdr:colOff>
      <xdr:row>4</xdr:row>
      <xdr:rowOff>219075</xdr:rowOff>
    </xdr:to>
    <xdr:sp>
      <xdr:nvSpPr>
        <xdr:cNvPr id="87" name="Line 250"/>
        <xdr:cNvSpPr>
          <a:spLocks/>
        </xdr:cNvSpPr>
      </xdr:nvSpPr>
      <xdr:spPr>
        <a:xfrm>
          <a:off x="4857750" y="113347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190500</xdr:colOff>
      <xdr:row>9</xdr:row>
      <xdr:rowOff>0</xdr:rowOff>
    </xdr:to>
    <xdr:sp>
      <xdr:nvSpPr>
        <xdr:cNvPr id="88" name="Line 251"/>
        <xdr:cNvSpPr>
          <a:spLocks/>
        </xdr:cNvSpPr>
      </xdr:nvSpPr>
      <xdr:spPr>
        <a:xfrm flipH="1">
          <a:off x="3562350" y="2057400"/>
          <a:ext cx="838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9</xdr:row>
      <xdr:rowOff>0</xdr:rowOff>
    </xdr:to>
    <xdr:sp>
      <xdr:nvSpPr>
        <xdr:cNvPr id="89" name="Line 252"/>
        <xdr:cNvSpPr>
          <a:spLocks/>
        </xdr:cNvSpPr>
      </xdr:nvSpPr>
      <xdr:spPr>
        <a:xfrm flipH="1" flipV="1">
          <a:off x="3238500" y="1828800"/>
          <a:ext cx="32385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823;&#27941;&#39640;&#26550;&#27211;&#26612;&#23614;&#12379;&#12435;&#12363;&#12425;\&#35336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画工程表（原紙）"/>
      <sheetName val="工程表様式"/>
      <sheetName val="施工管理計画"/>
      <sheetName val="出来形管理"/>
      <sheetName val="品質管理"/>
      <sheetName val="デジタル写真管理"/>
      <sheetName val="写真管理"/>
      <sheetName val="緊急時の体制及び対応"/>
      <sheetName val="交通管理"/>
      <sheetName val="看板"/>
      <sheetName val="環境対策"/>
      <sheetName val="現場作業環境の整備"/>
      <sheetName val="仮設"/>
      <sheetName val="再生資源の利用の促進"/>
      <sheetName val="その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02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.69921875" style="0" customWidth="1"/>
    <col min="2" max="26" width="3.59765625" style="0" customWidth="1"/>
    <col min="27" max="30" width="3.09765625" style="0" customWidth="1"/>
    <col min="33" max="34" width="9" style="0" hidden="1" customWidth="1"/>
  </cols>
  <sheetData>
    <row r="2" spans="2:31" ht="13.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2:31" ht="13.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2:31" ht="13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2:31" ht="13.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13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2:31" ht="13.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2:31" ht="13.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ht="13.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2:31" ht="13.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2:31" ht="13.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2:31" ht="13.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2:31" ht="13.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2:31" ht="13.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2:31" ht="13.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2:31" ht="13.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2:31" ht="13.5">
      <c r="B17" s="9"/>
      <c r="C17" s="9"/>
      <c r="D17" s="9"/>
      <c r="E17" s="9"/>
      <c r="F17" s="9"/>
      <c r="G17" s="9"/>
      <c r="H17" s="9"/>
      <c r="I17" s="587" t="s">
        <v>162</v>
      </c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2:31" ht="13.5">
      <c r="B18" s="9"/>
      <c r="C18" s="9"/>
      <c r="D18" s="9"/>
      <c r="E18" s="9"/>
      <c r="F18" s="9"/>
      <c r="G18" s="9"/>
      <c r="H18" s="9"/>
      <c r="I18" s="587"/>
      <c r="J18" s="587"/>
      <c r="K18" s="587"/>
      <c r="L18" s="587"/>
      <c r="M18" s="587"/>
      <c r="N18" s="587"/>
      <c r="O18" s="587"/>
      <c r="P18" s="587"/>
      <c r="Q18" s="587"/>
      <c r="R18" s="587"/>
      <c r="S18" s="587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2:31" ht="13.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2:31" ht="13.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2:31" ht="13.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2:31" ht="13.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2:31" ht="13.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31" ht="13.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2:31" ht="13.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2:31" ht="13.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2:34" ht="13.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G27">
        <v>16</v>
      </c>
      <c r="AH27">
        <v>1</v>
      </c>
    </row>
    <row r="28" spans="2:34" ht="13.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G28">
        <v>17</v>
      </c>
      <c r="AH28">
        <v>2</v>
      </c>
    </row>
    <row r="29" spans="2:34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G29">
        <v>18</v>
      </c>
      <c r="AH29">
        <v>3</v>
      </c>
    </row>
    <row r="30" spans="2:34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G30">
        <v>19</v>
      </c>
      <c r="AH30">
        <v>4</v>
      </c>
    </row>
    <row r="31" spans="2:34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G31">
        <v>20</v>
      </c>
      <c r="AH31">
        <v>5</v>
      </c>
    </row>
    <row r="32" spans="2:34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G32">
        <v>21</v>
      </c>
      <c r="AH32">
        <v>6</v>
      </c>
    </row>
    <row r="33" spans="2:34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G33">
        <v>22</v>
      </c>
      <c r="AH33">
        <v>7</v>
      </c>
    </row>
    <row r="34" spans="2:34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G34">
        <v>23</v>
      </c>
      <c r="AH34">
        <v>8</v>
      </c>
    </row>
    <row r="35" spans="2:34" ht="13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G35">
        <v>24</v>
      </c>
      <c r="AH35">
        <v>9</v>
      </c>
    </row>
    <row r="36" spans="2:34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G36">
        <v>25</v>
      </c>
      <c r="AH36">
        <v>10</v>
      </c>
    </row>
    <row r="37" spans="2:34" ht="13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G37">
        <v>26</v>
      </c>
      <c r="AH37">
        <v>11</v>
      </c>
    </row>
    <row r="38" spans="2:34" ht="13.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G38">
        <v>27</v>
      </c>
      <c r="AH38">
        <v>12</v>
      </c>
    </row>
    <row r="39" spans="2:33" ht="13.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G39">
        <v>28</v>
      </c>
    </row>
    <row r="40" spans="2:33" ht="13.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>
        <v>29</v>
      </c>
    </row>
    <row r="41" spans="2:33" ht="13.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G41">
        <v>30</v>
      </c>
    </row>
    <row r="42" spans="2:33" ht="13.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G42">
        <v>31</v>
      </c>
    </row>
    <row r="43" spans="2:33" ht="13.5" customHeight="1">
      <c r="B43" s="9"/>
      <c r="C43" s="9"/>
      <c r="D43" s="9"/>
      <c r="E43" s="10"/>
      <c r="F43" s="9"/>
      <c r="G43" s="11"/>
      <c r="H43" s="11"/>
      <c r="I43" s="9"/>
      <c r="J43" s="9"/>
      <c r="K43" s="586" t="s">
        <v>163</v>
      </c>
      <c r="L43" s="586"/>
      <c r="M43" s="586"/>
      <c r="N43" s="586"/>
      <c r="O43" s="586" t="s">
        <v>164</v>
      </c>
      <c r="P43" s="586"/>
      <c r="Q43" s="586"/>
      <c r="R43" s="586" t="s">
        <v>165</v>
      </c>
      <c r="S43" s="586"/>
      <c r="T43" s="586"/>
      <c r="U43" s="586"/>
      <c r="V43" s="12"/>
      <c r="W43" s="9"/>
      <c r="X43" s="9"/>
      <c r="Y43" s="9"/>
      <c r="Z43" s="9"/>
      <c r="AA43" s="9"/>
      <c r="AB43" s="9"/>
      <c r="AC43" s="9"/>
      <c r="AD43" s="9"/>
      <c r="AE43" s="9"/>
      <c r="AG43">
        <v>32</v>
      </c>
    </row>
    <row r="44" spans="2:31" ht="13.5" customHeight="1">
      <c r="B44" s="9"/>
      <c r="C44" s="9"/>
      <c r="D44" s="9"/>
      <c r="E44" s="9"/>
      <c r="F44" s="12"/>
      <c r="G44" s="12"/>
      <c r="H44" s="12"/>
      <c r="I44" s="9"/>
      <c r="J44" s="9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12"/>
      <c r="W44" s="9"/>
      <c r="X44" s="9"/>
      <c r="Y44" s="9"/>
      <c r="Z44" s="9"/>
      <c r="AA44" s="9"/>
      <c r="AB44" s="9"/>
      <c r="AC44" s="9"/>
      <c r="AD44" s="9"/>
      <c r="AE44" s="9"/>
    </row>
    <row r="45" spans="2:31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2:31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2:31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2:31" ht="13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2:31" ht="13.5" customHeight="1">
      <c r="B49" s="9"/>
      <c r="C49" s="9"/>
      <c r="D49" s="9"/>
      <c r="E49" s="9"/>
      <c r="F49" s="9"/>
      <c r="G49" s="9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2:31" ht="13.5" customHeight="1">
      <c r="B50" s="9"/>
      <c r="C50" s="9"/>
      <c r="D50" s="9"/>
      <c r="E50" s="9"/>
      <c r="F50" s="9"/>
      <c r="G50" s="9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2:31" ht="13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2:31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2:31" ht="13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2:31" ht="13.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2:3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2:31" ht="13.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2:31" ht="13.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2:31" ht="13.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2:31" ht="13.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2:31" ht="13.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2:31" ht="13.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2:31" ht="13.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2:31" ht="13.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2:31" ht="13.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2:31" ht="13.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2:31" ht="13.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2:31" ht="13.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2:31" ht="13.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2:31" ht="13.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2:31" ht="13.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2:31" ht="13.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2:31" ht="13.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2:31" ht="13.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2:31" ht="13.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2:31" ht="13.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2:31" ht="13.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2:31" ht="13.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2:31" ht="13.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2:31" ht="13.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2:31" ht="13.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2:31" ht="13.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2:31" ht="13.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2:31" ht="13.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2:31" ht="13.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2:31" ht="13.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2:31" ht="13.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2:31" ht="13.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2:31" ht="13.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2:31" ht="13.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2:31" ht="13.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2:31" ht="13.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2:31" ht="13.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2:31" ht="13.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2:31" ht="13.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2:31" ht="13.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2:31" ht="13.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2:31" ht="13.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2:31" ht="13.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2:31" ht="13.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2:31" ht="13.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2:31" ht="13.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2:31" ht="13.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</sheetData>
  <sheetProtection/>
  <mergeCells count="9">
    <mergeCell ref="H49:U50"/>
    <mergeCell ref="I17:S18"/>
    <mergeCell ref="M43:N44"/>
    <mergeCell ref="P43:Q44"/>
    <mergeCell ref="R43:R44"/>
    <mergeCell ref="U43:U44"/>
    <mergeCell ref="S43:T44"/>
    <mergeCell ref="K43:L44"/>
    <mergeCell ref="O43:O44"/>
  </mergeCells>
  <dataValidations count="2">
    <dataValidation type="list" allowBlank="1" showInputMessage="1" showErrorMessage="1" sqref="M43:N44">
      <formula1>$AG$26:$AG$43</formula1>
    </dataValidation>
    <dataValidation type="list" allowBlank="1" showInputMessage="1" showErrorMessage="1" sqref="P43:Q44">
      <formula1>$AH$26:$AH$38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66" width="3.3984375" style="2" customWidth="1"/>
    <col min="67" max="16384" width="4.69921875" style="2" customWidth="1"/>
  </cols>
  <sheetData>
    <row r="1" spans="2:34" ht="18" customHeight="1">
      <c r="B1" s="487" t="s">
        <v>720</v>
      </c>
      <c r="C1" s="15"/>
      <c r="D1" s="15"/>
      <c r="E1" s="15"/>
      <c r="F1" s="15"/>
      <c r="G1" s="15"/>
      <c r="H1" s="29"/>
      <c r="I1" s="29"/>
      <c r="J1" s="29"/>
      <c r="K1" s="29"/>
      <c r="L1" s="15"/>
      <c r="M1" s="18"/>
      <c r="N1" s="27"/>
      <c r="O1" s="27"/>
      <c r="P1" s="15"/>
      <c r="Q1" s="18"/>
      <c r="R1" s="1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9"/>
      <c r="AH1" s="39"/>
    </row>
    <row r="2" spans="1:32" ht="18" customHeight="1">
      <c r="A2" s="38"/>
      <c r="B2" s="38"/>
      <c r="C2" s="15"/>
      <c r="D2" s="15"/>
      <c r="E2" s="15"/>
      <c r="F2" s="15"/>
      <c r="G2" s="15"/>
      <c r="H2" s="29"/>
      <c r="I2" s="15"/>
      <c r="J2" s="15"/>
      <c r="K2" s="123"/>
      <c r="L2" s="123"/>
      <c r="M2" s="168"/>
      <c r="N2" s="168"/>
      <c r="O2" s="163"/>
      <c r="P2" s="15"/>
      <c r="Q2" s="15"/>
      <c r="R2" s="15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9"/>
      <c r="AF2" s="39"/>
    </row>
    <row r="3" spans="1:32" s="332" customFormat="1" ht="18" customHeight="1">
      <c r="A3" s="244"/>
      <c r="B3" s="244"/>
      <c r="C3" s="3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2"/>
      <c r="AE3" s="329"/>
      <c r="AF3" s="329"/>
    </row>
    <row r="4" spans="1:32" s="332" customFormat="1" ht="18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344"/>
      <c r="X4" s="244"/>
      <c r="Y4" s="244"/>
      <c r="Z4" s="244"/>
      <c r="AA4" s="244"/>
      <c r="AB4" s="244"/>
      <c r="AC4" s="244"/>
      <c r="AD4" s="242"/>
      <c r="AE4" s="329"/>
      <c r="AF4" s="329"/>
    </row>
    <row r="5" spans="1:32" s="332" customFormat="1" ht="18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344"/>
      <c r="X5" s="244"/>
      <c r="Y5" s="264"/>
      <c r="Z5" s="264"/>
      <c r="AA5" s="264"/>
      <c r="AB5" s="244"/>
      <c r="AC5" s="244"/>
      <c r="AD5" s="242"/>
      <c r="AE5" s="329"/>
      <c r="AF5" s="329"/>
    </row>
    <row r="6" spans="1:32" s="332" customFormat="1" ht="18" customHeight="1">
      <c r="A6" s="244"/>
      <c r="B6" s="244"/>
      <c r="C6" s="839">
        <f>'朝顔チェーン'!$G$55/2</f>
        <v>550</v>
      </c>
      <c r="D6" s="242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2"/>
      <c r="P6" s="244"/>
      <c r="Q6" s="244"/>
      <c r="R6" s="244"/>
      <c r="S6" s="244"/>
      <c r="T6" s="244"/>
      <c r="U6" s="244"/>
      <c r="V6" s="244"/>
      <c r="W6" s="344"/>
      <c r="X6" s="244"/>
      <c r="Y6" s="264"/>
      <c r="Z6" s="264"/>
      <c r="AA6" s="264"/>
      <c r="AB6" s="244"/>
      <c r="AC6" s="244"/>
      <c r="AD6" s="242"/>
      <c r="AE6" s="329"/>
      <c r="AF6" s="329"/>
    </row>
    <row r="7" spans="1:32" s="332" customFormat="1" ht="18" customHeight="1">
      <c r="A7" s="244"/>
      <c r="B7" s="244"/>
      <c r="C7" s="840"/>
      <c r="D7" s="329"/>
      <c r="E7" s="244"/>
      <c r="F7" s="244"/>
      <c r="G7" s="244"/>
      <c r="H7" s="244"/>
      <c r="I7" s="244"/>
      <c r="J7" s="244"/>
      <c r="K7" s="244"/>
      <c r="L7" s="842" t="s">
        <v>678</v>
      </c>
      <c r="M7" s="842"/>
      <c r="N7" s="842"/>
      <c r="O7" s="841">
        <f>'朝顔'!$W$6</f>
        <v>1000</v>
      </c>
      <c r="P7" s="841"/>
      <c r="Q7" s="244"/>
      <c r="R7" s="244"/>
      <c r="S7" s="244"/>
      <c r="T7" s="244"/>
      <c r="U7" s="244"/>
      <c r="V7" s="244"/>
      <c r="W7" s="344"/>
      <c r="X7" s="244"/>
      <c r="Y7" s="358"/>
      <c r="Z7" s="244"/>
      <c r="AA7" s="244"/>
      <c r="AB7" s="244"/>
      <c r="AC7" s="244"/>
      <c r="AD7" s="242"/>
      <c r="AE7" s="329"/>
      <c r="AF7" s="329"/>
    </row>
    <row r="8" spans="1:32" s="332" customFormat="1" ht="18" customHeight="1">
      <c r="A8" s="244"/>
      <c r="B8" s="244"/>
      <c r="C8" s="837" t="s">
        <v>681</v>
      </c>
      <c r="D8" s="329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344"/>
      <c r="W8" s="244"/>
      <c r="X8" s="244"/>
      <c r="Y8" s="244"/>
      <c r="Z8" s="244"/>
      <c r="AA8" s="244"/>
      <c r="AB8" s="244"/>
      <c r="AC8" s="242"/>
      <c r="AD8" s="242"/>
      <c r="AE8" s="329"/>
      <c r="AF8" s="329"/>
    </row>
    <row r="9" spans="1:32" s="332" customFormat="1" ht="18" customHeight="1">
      <c r="A9" s="244"/>
      <c r="B9" s="244"/>
      <c r="C9" s="838"/>
      <c r="D9" s="329"/>
      <c r="E9" s="244"/>
      <c r="F9" s="244"/>
      <c r="G9" s="374"/>
      <c r="H9" s="244"/>
      <c r="I9" s="244"/>
      <c r="J9" s="244"/>
      <c r="K9" s="244"/>
      <c r="L9" s="244"/>
      <c r="M9" s="244"/>
      <c r="N9" s="244"/>
      <c r="O9" s="244" t="s">
        <v>2</v>
      </c>
      <c r="P9" s="244"/>
      <c r="Q9" s="244"/>
      <c r="R9" s="244"/>
      <c r="S9" s="244"/>
      <c r="T9" s="244"/>
      <c r="U9" s="244"/>
      <c r="V9" s="244"/>
      <c r="W9" s="344"/>
      <c r="X9" s="244"/>
      <c r="Y9" s="244"/>
      <c r="Z9" s="244"/>
      <c r="AA9" s="244"/>
      <c r="AB9" s="264"/>
      <c r="AC9" s="244"/>
      <c r="AD9" s="242"/>
      <c r="AE9" s="329"/>
      <c r="AF9" s="329"/>
    </row>
    <row r="10" spans="1:32" s="332" customFormat="1" ht="18" customHeight="1">
      <c r="A10" s="244"/>
      <c r="B10" s="244"/>
      <c r="C10" s="459"/>
      <c r="D10" s="244"/>
      <c r="E10" s="244"/>
      <c r="F10" s="244"/>
      <c r="G10" s="244"/>
      <c r="H10" s="244"/>
      <c r="I10" s="244"/>
      <c r="J10" s="244"/>
      <c r="K10" s="244"/>
      <c r="L10" s="264"/>
      <c r="M10" s="264"/>
      <c r="N10" s="244"/>
      <c r="O10" s="244"/>
      <c r="P10" s="244"/>
      <c r="Q10" s="244"/>
      <c r="R10" s="244"/>
      <c r="S10" s="244"/>
      <c r="T10" s="244"/>
      <c r="U10" s="244"/>
      <c r="V10" s="244"/>
      <c r="W10" s="344"/>
      <c r="X10" s="244"/>
      <c r="Y10" s="244"/>
      <c r="Z10" s="244"/>
      <c r="AA10" s="244"/>
      <c r="AB10" s="264"/>
      <c r="AC10" s="244"/>
      <c r="AD10" s="242"/>
      <c r="AE10" s="329"/>
      <c r="AF10" s="329"/>
    </row>
    <row r="11" spans="1:32" s="332" customFormat="1" ht="18" customHeight="1">
      <c r="A11" s="244"/>
      <c r="B11" s="244"/>
      <c r="C11" s="459"/>
      <c r="D11" s="242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344"/>
      <c r="X11" s="244"/>
      <c r="Y11" s="244"/>
      <c r="Z11" s="244"/>
      <c r="AA11" s="244"/>
      <c r="AB11" s="264"/>
      <c r="AC11" s="244"/>
      <c r="AD11" s="242"/>
      <c r="AE11" s="329"/>
      <c r="AF11" s="329"/>
    </row>
    <row r="12" spans="1:32" s="332" customFormat="1" ht="18" customHeight="1">
      <c r="A12" s="244"/>
      <c r="B12" s="244"/>
      <c r="C12" s="839">
        <f>'朝顔チェーン'!$G$59/2</f>
        <v>450</v>
      </c>
      <c r="D12" s="329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344"/>
      <c r="X12" s="244"/>
      <c r="Y12" s="244"/>
      <c r="Z12" s="244"/>
      <c r="AA12" s="244"/>
      <c r="AB12" s="264"/>
      <c r="AC12" s="244"/>
      <c r="AD12" s="242"/>
      <c r="AE12" s="329"/>
      <c r="AF12" s="329"/>
    </row>
    <row r="13" spans="1:32" s="332" customFormat="1" ht="18" customHeight="1">
      <c r="A13" s="244"/>
      <c r="B13" s="344"/>
      <c r="C13" s="840"/>
      <c r="D13" s="329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344"/>
      <c r="X13" s="244"/>
      <c r="Y13" s="244"/>
      <c r="Z13" s="244"/>
      <c r="AA13" s="244"/>
      <c r="AB13" s="264"/>
      <c r="AC13" s="244"/>
      <c r="AD13" s="242"/>
      <c r="AE13" s="329"/>
      <c r="AF13" s="329"/>
    </row>
    <row r="14" spans="1:32" s="332" customFormat="1" ht="18" customHeight="1">
      <c r="A14" s="244"/>
      <c r="B14" s="244"/>
      <c r="C14" s="837" t="s">
        <v>680</v>
      </c>
      <c r="D14" s="329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344"/>
      <c r="X14" s="244"/>
      <c r="Y14" s="244"/>
      <c r="Z14" s="244"/>
      <c r="AA14" s="244"/>
      <c r="AB14" s="264"/>
      <c r="AC14" s="244"/>
      <c r="AD14" s="242"/>
      <c r="AE14" s="329"/>
      <c r="AF14" s="329"/>
    </row>
    <row r="15" spans="1:32" s="332" customFormat="1" ht="18" customHeight="1">
      <c r="A15" s="244"/>
      <c r="B15" s="244"/>
      <c r="C15" s="838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344"/>
      <c r="X15" s="244"/>
      <c r="Y15" s="244"/>
      <c r="Z15" s="244"/>
      <c r="AA15" s="244"/>
      <c r="AB15" s="264"/>
      <c r="AC15" s="244"/>
      <c r="AD15" s="242"/>
      <c r="AE15" s="329"/>
      <c r="AF15" s="329"/>
    </row>
    <row r="16" spans="1:32" s="332" customFormat="1" ht="18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344"/>
      <c r="X16" s="244"/>
      <c r="Y16" s="244"/>
      <c r="Z16" s="244"/>
      <c r="AA16" s="244"/>
      <c r="AB16" s="264"/>
      <c r="AC16" s="244"/>
      <c r="AD16" s="242"/>
      <c r="AE16" s="329"/>
      <c r="AF16" s="329"/>
    </row>
    <row r="17" spans="1:32" s="332" customFormat="1" ht="18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373" t="s">
        <v>3</v>
      </c>
      <c r="U17" s="373"/>
      <c r="V17" s="373"/>
      <c r="W17" s="375"/>
      <c r="X17" s="244"/>
      <c r="Y17" s="244"/>
      <c r="Z17" s="244"/>
      <c r="AA17" s="244"/>
      <c r="AB17" s="264"/>
      <c r="AC17" s="244"/>
      <c r="AD17" s="242"/>
      <c r="AE17" s="329"/>
      <c r="AF17" s="329"/>
    </row>
    <row r="18" spans="1:32" s="332" customFormat="1" ht="18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541">
        <f>'朝顔'!$W$6</f>
        <v>1000</v>
      </c>
      <c r="V18" s="541"/>
      <c r="W18" s="344"/>
      <c r="X18" s="244"/>
      <c r="Y18" s="244"/>
      <c r="Z18" s="244"/>
      <c r="AA18" s="244"/>
      <c r="AB18" s="264"/>
      <c r="AC18" s="244"/>
      <c r="AD18" s="242"/>
      <c r="AE18" s="329"/>
      <c r="AF18" s="329"/>
    </row>
    <row r="19" spans="1:32" s="332" customFormat="1" ht="18" customHeight="1">
      <c r="A19" s="244"/>
      <c r="B19" s="244"/>
      <c r="C19" s="3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0"/>
      <c r="Q19" s="163"/>
      <c r="R19" s="163"/>
      <c r="S19" s="244"/>
      <c r="T19" s="244"/>
      <c r="U19" s="244"/>
      <c r="V19" s="244"/>
      <c r="W19" s="244"/>
      <c r="X19" s="244"/>
      <c r="Y19" s="244"/>
      <c r="Z19" s="244"/>
      <c r="AA19" s="244"/>
      <c r="AB19" s="264"/>
      <c r="AC19" s="244"/>
      <c r="AD19" s="242"/>
      <c r="AE19" s="329"/>
      <c r="AF19" s="329"/>
    </row>
    <row r="20" spans="1:34" s="332" customFormat="1" ht="18" customHeight="1">
      <c r="A20" s="244"/>
      <c r="B20" s="244"/>
      <c r="C20" s="244" t="s">
        <v>4</v>
      </c>
      <c r="D20" s="244"/>
      <c r="E20" s="244"/>
      <c r="F20" s="244"/>
      <c r="G20" s="591">
        <f>$U$18</f>
        <v>1000</v>
      </c>
      <c r="H20" s="845"/>
      <c r="I20" s="244" t="s">
        <v>5</v>
      </c>
      <c r="J20" s="244"/>
      <c r="K20" s="244"/>
      <c r="L20" s="244"/>
      <c r="M20" s="244"/>
      <c r="N20" s="244"/>
      <c r="O20" s="29"/>
      <c r="P20" s="29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64"/>
      <c r="AC20" s="244"/>
      <c r="AD20" s="242"/>
      <c r="AE20" s="242"/>
      <c r="AF20" s="242"/>
      <c r="AG20" s="329"/>
      <c r="AH20" s="329"/>
    </row>
    <row r="21" spans="1:34" s="332" customFormat="1" ht="18" customHeight="1">
      <c r="A21" s="244"/>
      <c r="B21" s="244"/>
      <c r="C21" s="344"/>
      <c r="D21" s="244"/>
      <c r="E21" s="244"/>
      <c r="F21" s="244"/>
      <c r="G21" s="244"/>
      <c r="H21" s="244"/>
      <c r="I21" s="244"/>
      <c r="J21" s="244"/>
      <c r="K21" s="244"/>
      <c r="L21" s="66"/>
      <c r="M21" s="20"/>
      <c r="N21" s="163"/>
      <c r="O21" s="163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64"/>
      <c r="AC21" s="244"/>
      <c r="AD21" s="242"/>
      <c r="AE21" s="242"/>
      <c r="AF21" s="242"/>
      <c r="AG21" s="329"/>
      <c r="AH21" s="329"/>
    </row>
    <row r="22" spans="1:34" s="332" customFormat="1" ht="18" customHeight="1">
      <c r="A22" s="244"/>
      <c r="B22" s="244"/>
      <c r="C22" s="344"/>
      <c r="D22" s="643" t="s">
        <v>679</v>
      </c>
      <c r="E22" s="643"/>
      <c r="F22" s="643"/>
      <c r="G22" s="643"/>
      <c r="H22" s="643"/>
      <c r="I22" s="643"/>
      <c r="J22" s="643"/>
      <c r="K22" s="643"/>
      <c r="L22" s="541">
        <f>'朝顔'!$T$79</f>
        <v>298</v>
      </c>
      <c r="M22" s="843"/>
      <c r="N22" s="353" t="s">
        <v>6</v>
      </c>
      <c r="O22" s="813">
        <f>$C$12/1000</f>
        <v>0.45</v>
      </c>
      <c r="P22" s="813"/>
      <c r="Q22" s="353" t="s">
        <v>7</v>
      </c>
      <c r="R22" s="541">
        <f>$L$22*$O$22</f>
        <v>134</v>
      </c>
      <c r="S22" s="541"/>
      <c r="T22" s="244" t="s">
        <v>8</v>
      </c>
      <c r="U22" s="244"/>
      <c r="V22" s="244"/>
      <c r="W22" s="244"/>
      <c r="X22" s="244"/>
      <c r="Y22" s="244"/>
      <c r="Z22" s="244"/>
      <c r="AA22" s="244"/>
      <c r="AB22" s="264"/>
      <c r="AC22" s="244"/>
      <c r="AD22" s="242"/>
      <c r="AE22" s="242"/>
      <c r="AF22" s="242"/>
      <c r="AG22" s="329"/>
      <c r="AH22" s="329"/>
    </row>
    <row r="23" spans="1:34" s="332" customFormat="1" ht="18" customHeight="1">
      <c r="A23" s="244"/>
      <c r="B23" s="244"/>
      <c r="C23" s="244" t="s">
        <v>682</v>
      </c>
      <c r="D23" s="244"/>
      <c r="E23" s="244"/>
      <c r="F23" s="244"/>
      <c r="G23" s="244"/>
      <c r="H23" s="244"/>
      <c r="I23" s="244"/>
      <c r="J23" s="244"/>
      <c r="K23" s="244"/>
      <c r="L23" s="167"/>
      <c r="M23" s="462"/>
      <c r="N23" s="353"/>
      <c r="O23" s="370"/>
      <c r="P23" s="370"/>
      <c r="Q23" s="353"/>
      <c r="R23" s="167"/>
      <c r="S23" s="167"/>
      <c r="T23" s="244"/>
      <c r="U23" s="244"/>
      <c r="V23" s="244"/>
      <c r="W23" s="244"/>
      <c r="X23" s="244"/>
      <c r="Y23" s="244"/>
      <c r="Z23" s="244"/>
      <c r="AA23" s="244"/>
      <c r="AB23" s="264"/>
      <c r="AC23" s="244"/>
      <c r="AD23" s="242"/>
      <c r="AE23" s="242"/>
      <c r="AF23" s="242"/>
      <c r="AG23" s="329"/>
      <c r="AH23" s="329"/>
    </row>
    <row r="24" spans="1:34" s="332" customFormat="1" ht="18" customHeight="1">
      <c r="A24" s="244"/>
      <c r="B24" s="244"/>
      <c r="C24" s="344"/>
      <c r="D24" s="244" t="s">
        <v>683</v>
      </c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329"/>
      <c r="P24" s="329"/>
      <c r="Q24" s="329"/>
      <c r="R24" s="329"/>
      <c r="S24" s="329"/>
      <c r="T24" s="329"/>
      <c r="U24" s="329"/>
      <c r="V24" s="329"/>
      <c r="W24" s="329"/>
      <c r="X24" s="244"/>
      <c r="Y24" s="244"/>
      <c r="Z24" s="244"/>
      <c r="AA24" s="244"/>
      <c r="AB24" s="264"/>
      <c r="AC24" s="244"/>
      <c r="AD24" s="242"/>
      <c r="AE24" s="242"/>
      <c r="AF24" s="242"/>
      <c r="AG24" s="329"/>
      <c r="AH24" s="329"/>
    </row>
    <row r="25" spans="1:34" s="332" customFormat="1" ht="18" customHeight="1">
      <c r="A25" s="244"/>
      <c r="B25" s="244"/>
      <c r="C25" s="344"/>
      <c r="D25" s="244"/>
      <c r="E25" s="244"/>
      <c r="F25" s="244"/>
      <c r="G25" s="358" t="s">
        <v>160</v>
      </c>
      <c r="H25" s="541">
        <f>'朝顔'!$T$80</f>
        <v>78</v>
      </c>
      <c r="I25" s="843"/>
      <c r="J25" s="353" t="s">
        <v>6</v>
      </c>
      <c r="K25" s="813">
        <f>$C$6/1000/2</f>
        <v>0.275</v>
      </c>
      <c r="L25" s="813"/>
      <c r="M25" s="353" t="s">
        <v>684</v>
      </c>
      <c r="N25" s="541">
        <f>'朝顔'!$T$79</f>
        <v>298</v>
      </c>
      <c r="O25" s="843"/>
      <c r="P25" s="353" t="s">
        <v>6</v>
      </c>
      <c r="Q25" s="813">
        <f>$C$12/1000/2</f>
        <v>0.225</v>
      </c>
      <c r="R25" s="813"/>
      <c r="S25" s="353" t="s">
        <v>7</v>
      </c>
      <c r="T25" s="541">
        <f>$H$25*$K$25+$N$25*$Q$25</f>
        <v>89</v>
      </c>
      <c r="U25" s="541"/>
      <c r="V25" s="244" t="s">
        <v>8</v>
      </c>
      <c r="W25" s="244"/>
      <c r="X25" s="244"/>
      <c r="Y25" s="244"/>
      <c r="Z25" s="244"/>
      <c r="AA25" s="244"/>
      <c r="AB25" s="264"/>
      <c r="AC25" s="244"/>
      <c r="AD25" s="242"/>
      <c r="AE25" s="242"/>
      <c r="AF25" s="242"/>
      <c r="AG25" s="329"/>
      <c r="AH25" s="329"/>
    </row>
    <row r="26" spans="1:34" s="332" customFormat="1" ht="18" customHeight="1">
      <c r="A26" s="244"/>
      <c r="B26" s="244"/>
      <c r="C26" s="344"/>
      <c r="D26" s="244"/>
      <c r="E26" s="244"/>
      <c r="F26" s="244"/>
      <c r="G26" s="244"/>
      <c r="H26" s="244"/>
      <c r="I26" s="244"/>
      <c r="J26" s="244"/>
      <c r="K26" s="244"/>
      <c r="L26" s="244"/>
      <c r="M26" s="26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64"/>
      <c r="AC26" s="244"/>
      <c r="AD26" s="242"/>
      <c r="AE26" s="242"/>
      <c r="AF26" s="242"/>
      <c r="AG26" s="329"/>
      <c r="AH26" s="329"/>
    </row>
    <row r="27" spans="1:34" s="332" customFormat="1" ht="18" customHeight="1">
      <c r="A27" s="244"/>
      <c r="B27" s="244"/>
      <c r="C27" s="244"/>
      <c r="D27" s="605" t="s">
        <v>9</v>
      </c>
      <c r="E27" s="605" t="s">
        <v>7</v>
      </c>
      <c r="F27" s="614" t="s">
        <v>10</v>
      </c>
      <c r="G27" s="614"/>
      <c r="H27" s="605" t="s">
        <v>7</v>
      </c>
      <c r="I27" s="844">
        <f>IF($R$22&gt;$T$25,$R$22,$T$25)</f>
        <v>134</v>
      </c>
      <c r="J27" s="844"/>
      <c r="K27" s="368" t="s">
        <v>6</v>
      </c>
      <c r="L27" s="757">
        <f>$U$18/1000</f>
        <v>1</v>
      </c>
      <c r="M27" s="757"/>
      <c r="N27" s="376" t="s">
        <v>11</v>
      </c>
      <c r="O27" s="605" t="s">
        <v>7</v>
      </c>
      <c r="P27" s="742">
        <f>$I$27*$L$27^2/$K$28</f>
        <v>17</v>
      </c>
      <c r="Q27" s="742"/>
      <c r="R27" s="643" t="s">
        <v>12</v>
      </c>
      <c r="S27" s="643"/>
      <c r="T27" s="244"/>
      <c r="U27" s="244"/>
      <c r="V27" s="244"/>
      <c r="W27" s="244"/>
      <c r="X27" s="244"/>
      <c r="Y27" s="244"/>
      <c r="Z27" s="244"/>
      <c r="AA27" s="244"/>
      <c r="AB27" s="264"/>
      <c r="AC27" s="244"/>
      <c r="AD27" s="242"/>
      <c r="AE27" s="242"/>
      <c r="AF27" s="242"/>
      <c r="AG27" s="329"/>
      <c r="AH27" s="329"/>
    </row>
    <row r="28" spans="1:34" s="332" customFormat="1" ht="18" customHeight="1">
      <c r="A28" s="244"/>
      <c r="B28" s="244"/>
      <c r="C28" s="244"/>
      <c r="D28" s="605"/>
      <c r="E28" s="605"/>
      <c r="F28" s="605">
        <v>8</v>
      </c>
      <c r="G28" s="605"/>
      <c r="H28" s="605"/>
      <c r="I28" s="244"/>
      <c r="J28" s="244"/>
      <c r="K28" s="353">
        <v>8</v>
      </c>
      <c r="L28" s="244"/>
      <c r="M28" s="264"/>
      <c r="N28" s="369"/>
      <c r="O28" s="605"/>
      <c r="P28" s="742"/>
      <c r="Q28" s="742"/>
      <c r="R28" s="643"/>
      <c r="S28" s="643"/>
      <c r="T28" s="244"/>
      <c r="U28" s="244"/>
      <c r="V28" s="244"/>
      <c r="W28" s="244"/>
      <c r="X28" s="244"/>
      <c r="Y28" s="244"/>
      <c r="Z28" s="244"/>
      <c r="AA28" s="244"/>
      <c r="AB28" s="264"/>
      <c r="AC28" s="244"/>
      <c r="AD28" s="242"/>
      <c r="AE28" s="242"/>
      <c r="AF28" s="242"/>
      <c r="AG28" s="329"/>
      <c r="AH28" s="329"/>
    </row>
    <row r="29" spans="1:34" s="332" customFormat="1" ht="18" customHeight="1">
      <c r="A29" s="244"/>
      <c r="B29" s="244"/>
      <c r="C29" s="244"/>
      <c r="D29" s="19"/>
      <c r="E29" s="19"/>
      <c r="F29" s="19"/>
      <c r="G29" s="19"/>
      <c r="H29" s="353"/>
      <c r="I29" s="244"/>
      <c r="J29" s="244"/>
      <c r="K29" s="353"/>
      <c r="L29" s="244"/>
      <c r="M29" s="264"/>
      <c r="N29" s="244"/>
      <c r="O29" s="353"/>
      <c r="P29" s="362"/>
      <c r="Q29" s="362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64"/>
      <c r="AC29" s="244"/>
      <c r="AD29" s="242"/>
      <c r="AE29" s="242"/>
      <c r="AF29" s="242"/>
      <c r="AG29" s="329"/>
      <c r="AH29" s="329"/>
    </row>
    <row r="30" spans="1:34" s="332" customFormat="1" ht="18" customHeight="1">
      <c r="A30" s="244"/>
      <c r="B30" s="244"/>
      <c r="C30" s="244"/>
      <c r="D30" s="605" t="s">
        <v>13</v>
      </c>
      <c r="E30" s="605" t="s">
        <v>7</v>
      </c>
      <c r="F30" s="614" t="s">
        <v>9</v>
      </c>
      <c r="G30" s="614"/>
      <c r="H30" s="605" t="s">
        <v>7</v>
      </c>
      <c r="I30" s="613">
        <f>ROUND($P$27,0)*1000</f>
        <v>17000</v>
      </c>
      <c r="J30" s="613"/>
      <c r="K30" s="613"/>
      <c r="L30" s="605" t="s">
        <v>7</v>
      </c>
      <c r="M30" s="673">
        <f>$I$30/$I$31</f>
        <v>2</v>
      </c>
      <c r="N30" s="673"/>
      <c r="O30" s="618" t="s">
        <v>14</v>
      </c>
      <c r="P30" s="618"/>
      <c r="Q30" s="605" t="str">
        <f>IF($M$30&lt;=$F$33,"＜","＞")</f>
        <v>＜</v>
      </c>
      <c r="R30" s="612" t="s">
        <v>15</v>
      </c>
      <c r="S30" s="612"/>
      <c r="T30" s="582"/>
      <c r="U30" s="643">
        <v>1.3</v>
      </c>
      <c r="V30" s="643"/>
      <c r="W30" s="815" t="s">
        <v>6</v>
      </c>
      <c r="X30" s="572">
        <f>'使用材一覧'!$P$18</f>
        <v>165</v>
      </c>
      <c r="Y30" s="572"/>
      <c r="Z30" s="19"/>
      <c r="AA30" s="19"/>
      <c r="AB30" s="264"/>
      <c r="AC30" s="244"/>
      <c r="AD30" s="242"/>
      <c r="AE30" s="242"/>
      <c r="AF30" s="242"/>
      <c r="AG30" s="329"/>
      <c r="AH30" s="329"/>
    </row>
    <row r="31" spans="1:34" s="332" customFormat="1" ht="18" customHeight="1">
      <c r="A31" s="244"/>
      <c r="B31" s="244"/>
      <c r="C31" s="244"/>
      <c r="D31" s="605"/>
      <c r="E31" s="605"/>
      <c r="F31" s="605" t="s">
        <v>16</v>
      </c>
      <c r="G31" s="605"/>
      <c r="H31" s="605"/>
      <c r="I31" s="611">
        <f>'使用材一覧'!$P$16</f>
        <v>9440</v>
      </c>
      <c r="J31" s="611"/>
      <c r="K31" s="611"/>
      <c r="L31" s="605"/>
      <c r="M31" s="673"/>
      <c r="N31" s="673"/>
      <c r="O31" s="618"/>
      <c r="P31" s="618"/>
      <c r="Q31" s="605"/>
      <c r="R31" s="612"/>
      <c r="S31" s="612"/>
      <c r="T31" s="582"/>
      <c r="U31" s="643"/>
      <c r="V31" s="643"/>
      <c r="W31" s="815"/>
      <c r="X31" s="572"/>
      <c r="Y31" s="572"/>
      <c r="Z31" s="19"/>
      <c r="AA31" s="19"/>
      <c r="AB31" s="264"/>
      <c r="AC31" s="244"/>
      <c r="AD31" s="242"/>
      <c r="AE31" s="242"/>
      <c r="AF31" s="242"/>
      <c r="AG31" s="329"/>
      <c r="AH31" s="329"/>
    </row>
    <row r="32" spans="1:34" s="332" customFormat="1" ht="18" customHeight="1">
      <c r="A32" s="244"/>
      <c r="B32" s="244"/>
      <c r="C32" s="244"/>
      <c r="D32" s="19"/>
      <c r="E32" s="19"/>
      <c r="F32" s="19"/>
      <c r="G32" s="19"/>
      <c r="H32" s="353"/>
      <c r="I32" s="244"/>
      <c r="J32" s="244"/>
      <c r="K32" s="353"/>
      <c r="L32" s="244"/>
      <c r="M32" s="264"/>
      <c r="N32" s="244"/>
      <c r="O32" s="353"/>
      <c r="P32" s="362"/>
      <c r="Q32" s="362"/>
      <c r="R32" s="244"/>
      <c r="S32" s="244"/>
      <c r="T32" s="244"/>
      <c r="U32" s="244"/>
      <c r="V32" s="244"/>
      <c r="W32" s="244"/>
      <c r="X32" s="164"/>
      <c r="Y32" s="164"/>
      <c r="Z32" s="164"/>
      <c r="AA32" s="164"/>
      <c r="AB32" s="264"/>
      <c r="AC32" s="244"/>
      <c r="AD32" s="242"/>
      <c r="AE32" s="242"/>
      <c r="AF32" s="242"/>
      <c r="AG32" s="329"/>
      <c r="AH32" s="329"/>
    </row>
    <row r="33" spans="1:34" s="332" customFormat="1" ht="18" customHeight="1">
      <c r="A33" s="244"/>
      <c r="B33" s="244"/>
      <c r="C33" s="344"/>
      <c r="D33" s="244"/>
      <c r="E33" s="321" t="s">
        <v>7</v>
      </c>
      <c r="F33" s="591">
        <f>ROUNDDOWN($U$30*$X$30,0)</f>
        <v>214</v>
      </c>
      <c r="G33" s="591"/>
      <c r="H33" s="244" t="s">
        <v>17</v>
      </c>
      <c r="I33" s="244"/>
      <c r="J33" s="244"/>
      <c r="K33" s="699">
        <f>IF($M$30&lt;=$F$33,"","NG")</f>
      </c>
      <c r="L33" s="700"/>
      <c r="M33" s="700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164"/>
      <c r="Y33" s="164"/>
      <c r="Z33" s="164"/>
      <c r="AA33" s="164"/>
      <c r="AB33" s="264"/>
      <c r="AC33" s="244"/>
      <c r="AD33" s="242"/>
      <c r="AE33" s="242"/>
      <c r="AF33" s="242"/>
      <c r="AG33" s="329"/>
      <c r="AH33" s="329"/>
    </row>
    <row r="34" spans="1:34" s="332" customFormat="1" ht="18" customHeight="1">
      <c r="A34" s="244"/>
      <c r="B34" s="244"/>
      <c r="C34" s="321"/>
      <c r="D34" s="321"/>
      <c r="E34" s="321"/>
      <c r="F34" s="321"/>
      <c r="G34" s="16"/>
      <c r="H34" s="362"/>
      <c r="I34" s="353"/>
      <c r="J34" s="363"/>
      <c r="K34" s="363"/>
      <c r="L34" s="363"/>
      <c r="M34" s="360"/>
      <c r="N34" s="360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2"/>
      <c r="AC34" s="242"/>
      <c r="AD34" s="242"/>
      <c r="AE34" s="242"/>
      <c r="AF34" s="242"/>
      <c r="AG34" s="329"/>
      <c r="AH34" s="329"/>
    </row>
    <row r="35" spans="1:34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38"/>
      <c r="AE35" s="38"/>
      <c r="AF35" s="38"/>
      <c r="AG35" s="39"/>
      <c r="AH35" s="39"/>
    </row>
    <row r="36" spans="1:34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38"/>
      <c r="AE36" s="38"/>
      <c r="AF36" s="38"/>
      <c r="AG36" s="39"/>
      <c r="AH36" s="39"/>
    </row>
    <row r="37" spans="1:34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38"/>
      <c r="AE37" s="38"/>
      <c r="AF37" s="38"/>
      <c r="AG37" s="39"/>
      <c r="AH37" s="39"/>
    </row>
    <row r="38" spans="1:34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38"/>
      <c r="AE38" s="38"/>
      <c r="AF38" s="38"/>
      <c r="AG38" s="39"/>
      <c r="AH38" s="39"/>
    </row>
    <row r="39" spans="1:34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38"/>
      <c r="AE39" s="38"/>
      <c r="AF39" s="38"/>
      <c r="AG39" s="39"/>
      <c r="AH39" s="39"/>
    </row>
    <row r="40" spans="1:34" ht="13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38"/>
      <c r="AE40" s="38"/>
      <c r="AF40" s="38"/>
      <c r="AG40" s="39"/>
      <c r="AH40" s="39"/>
    </row>
    <row r="41" spans="1:34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38"/>
      <c r="AE41" s="38"/>
      <c r="AF41" s="38"/>
      <c r="AG41" s="39"/>
      <c r="AH41" s="39"/>
    </row>
    <row r="42" spans="1:34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38"/>
      <c r="AE42" s="38"/>
      <c r="AF42" s="38"/>
      <c r="AG42" s="39"/>
      <c r="AH42" s="39"/>
    </row>
    <row r="43" spans="1:34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38"/>
      <c r="AE43" s="38"/>
      <c r="AF43" s="38"/>
      <c r="AG43" s="39"/>
      <c r="AH43" s="39"/>
    </row>
    <row r="44" spans="1:34" ht="13.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8"/>
      <c r="AE44" s="38"/>
      <c r="AF44" s="38"/>
      <c r="AG44" s="39"/>
      <c r="AH44" s="39"/>
    </row>
    <row r="45" spans="1:34" ht="13.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8"/>
      <c r="AE45" s="38"/>
      <c r="AF45" s="38"/>
      <c r="AG45" s="39"/>
      <c r="AH45" s="39"/>
    </row>
    <row r="46" spans="1:34" ht="13.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8"/>
      <c r="AE46" s="38"/>
      <c r="AF46" s="38"/>
      <c r="AG46" s="39"/>
      <c r="AH46" s="39"/>
    </row>
    <row r="47" spans="1:34" ht="13.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8"/>
      <c r="AE47" s="38"/>
      <c r="AF47" s="38"/>
      <c r="AG47" s="39"/>
      <c r="AH47" s="39"/>
    </row>
    <row r="48" spans="1:34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8"/>
      <c r="AE48" s="38"/>
      <c r="AF48" s="38"/>
      <c r="AG48" s="39"/>
      <c r="AH48" s="39"/>
    </row>
    <row r="49" spans="1:34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9"/>
      <c r="AH49" s="39"/>
    </row>
    <row r="50" spans="1:34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9"/>
      <c r="AH50" s="39"/>
    </row>
    <row r="51" spans="1:32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</sheetData>
  <sheetProtection sheet="1" objects="1" scenarios="1"/>
  <mergeCells count="44">
    <mergeCell ref="Q30:Q31"/>
    <mergeCell ref="X30:Y31"/>
    <mergeCell ref="I31:K31"/>
    <mergeCell ref="R30:T31"/>
    <mergeCell ref="U30:V31"/>
    <mergeCell ref="W30:W31"/>
    <mergeCell ref="H30:H31"/>
    <mergeCell ref="F31:G31"/>
    <mergeCell ref="K33:M33"/>
    <mergeCell ref="O30:P31"/>
    <mergeCell ref="M30:N31"/>
    <mergeCell ref="F30:G30"/>
    <mergeCell ref="F33:G33"/>
    <mergeCell ref="L30:L31"/>
    <mergeCell ref="U18:V18"/>
    <mergeCell ref="D22:K22"/>
    <mergeCell ref="L22:M22"/>
    <mergeCell ref="O22:P22"/>
    <mergeCell ref="R22:S22"/>
    <mergeCell ref="G20:H20"/>
    <mergeCell ref="D30:D31"/>
    <mergeCell ref="E30:E31"/>
    <mergeCell ref="C12:C13"/>
    <mergeCell ref="R27:S28"/>
    <mergeCell ref="F27:G27"/>
    <mergeCell ref="F28:G28"/>
    <mergeCell ref="H27:H28"/>
    <mergeCell ref="I27:J27"/>
    <mergeCell ref="L27:M27"/>
    <mergeCell ref="I30:K30"/>
    <mergeCell ref="O27:O28"/>
    <mergeCell ref="P27:Q28"/>
    <mergeCell ref="D27:D28"/>
    <mergeCell ref="E27:E28"/>
    <mergeCell ref="Q25:R25"/>
    <mergeCell ref="T25:U25"/>
    <mergeCell ref="C14:C15"/>
    <mergeCell ref="C6:C7"/>
    <mergeCell ref="C8:C9"/>
    <mergeCell ref="O7:P7"/>
    <mergeCell ref="L7:N7"/>
    <mergeCell ref="H25:I25"/>
    <mergeCell ref="K25:L25"/>
    <mergeCell ref="N25:O25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8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56" width="3.3984375" style="2" customWidth="1"/>
    <col min="57" max="16384" width="4.69921875" style="2" customWidth="1"/>
  </cols>
  <sheetData>
    <row r="1" spans="2:33" ht="18" customHeight="1">
      <c r="B1" s="487" t="s">
        <v>721</v>
      </c>
      <c r="C1" s="15"/>
      <c r="D1" s="15"/>
      <c r="E1" s="15"/>
      <c r="F1" s="15"/>
      <c r="G1" s="15"/>
      <c r="H1" s="29"/>
      <c r="I1" s="29"/>
      <c r="J1" s="29"/>
      <c r="K1" s="29"/>
      <c r="L1" s="15"/>
      <c r="M1" s="18"/>
      <c r="N1" s="27"/>
      <c r="O1" s="27"/>
      <c r="P1" s="15"/>
      <c r="Q1" s="18"/>
      <c r="R1" s="1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  <c r="AG1" s="39"/>
    </row>
    <row r="2" spans="1:33" ht="18" customHeight="1">
      <c r="A2" s="244"/>
      <c r="B2" s="38"/>
      <c r="C2" s="15"/>
      <c r="D2" s="15"/>
      <c r="E2" s="15"/>
      <c r="F2" s="15"/>
      <c r="G2" s="15"/>
      <c r="H2" s="29"/>
      <c r="I2" s="29"/>
      <c r="J2" s="29"/>
      <c r="K2" s="29"/>
      <c r="L2" s="15"/>
      <c r="M2" s="18"/>
      <c r="N2" s="27"/>
      <c r="O2" s="27"/>
      <c r="P2" s="15"/>
      <c r="Q2" s="18"/>
      <c r="R2" s="1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9"/>
      <c r="AG2" s="39"/>
    </row>
    <row r="3" spans="1:33" ht="18" customHeight="1">
      <c r="A3" s="244"/>
      <c r="B3" s="38"/>
      <c r="C3" s="15"/>
      <c r="D3" s="15"/>
      <c r="E3" s="15"/>
      <c r="F3" s="15"/>
      <c r="G3" s="15"/>
      <c r="H3" s="29"/>
      <c r="I3" s="29"/>
      <c r="J3" s="29"/>
      <c r="K3" s="29"/>
      <c r="L3" s="15"/>
      <c r="M3" s="18"/>
      <c r="N3" s="27"/>
      <c r="O3" s="27"/>
      <c r="P3" s="15"/>
      <c r="Q3" s="18"/>
      <c r="R3" s="18"/>
      <c r="S3" s="38"/>
      <c r="T3" s="38"/>
      <c r="U3" s="38"/>
      <c r="V3" s="38"/>
      <c r="W3" s="38"/>
      <c r="X3" s="38" t="s">
        <v>689</v>
      </c>
      <c r="Y3" s="38"/>
      <c r="Z3" s="38"/>
      <c r="AA3" s="38"/>
      <c r="AB3" s="38"/>
      <c r="AC3" s="38"/>
      <c r="AD3" s="38"/>
      <c r="AE3" s="38"/>
      <c r="AF3" s="39"/>
      <c r="AG3" s="39"/>
    </row>
    <row r="4" spans="1:33" ht="18" customHeight="1">
      <c r="A4" s="244"/>
      <c r="B4" s="38"/>
      <c r="C4" s="15"/>
      <c r="D4" s="15"/>
      <c r="E4" s="15"/>
      <c r="F4" s="15"/>
      <c r="G4" s="15"/>
      <c r="H4" s="29"/>
      <c r="I4" s="29"/>
      <c r="J4" s="29"/>
      <c r="K4" s="29"/>
      <c r="L4" s="15"/>
      <c r="M4" s="18"/>
      <c r="N4" s="27"/>
      <c r="O4" s="27"/>
      <c r="P4" s="15"/>
      <c r="Q4" s="18"/>
      <c r="R4" s="1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/>
      <c r="AG4" s="39"/>
    </row>
    <row r="5" spans="1:33" ht="18" customHeight="1">
      <c r="A5" s="244"/>
      <c r="B5" s="38"/>
      <c r="C5" s="15"/>
      <c r="D5" s="15"/>
      <c r="E5" s="15"/>
      <c r="F5" s="15"/>
      <c r="G5" s="15"/>
      <c r="H5" s="29"/>
      <c r="I5" s="29"/>
      <c r="J5" s="460" t="s">
        <v>687</v>
      </c>
      <c r="K5" s="29"/>
      <c r="L5" s="15"/>
      <c r="M5" s="18"/>
      <c r="N5" s="27"/>
      <c r="O5" s="27"/>
      <c r="P5" s="15"/>
      <c r="Q5" s="18"/>
      <c r="R5" s="1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  <c r="AG5" s="39"/>
    </row>
    <row r="6" spans="1:33" ht="18" customHeight="1">
      <c r="A6" s="244"/>
      <c r="B6" s="38"/>
      <c r="C6" s="15"/>
      <c r="D6" s="15"/>
      <c r="E6" s="15"/>
      <c r="F6" s="15"/>
      <c r="G6" s="15"/>
      <c r="H6" s="29"/>
      <c r="I6" s="29"/>
      <c r="J6" s="29"/>
      <c r="K6" s="29"/>
      <c r="L6" s="15"/>
      <c r="M6" s="18"/>
      <c r="N6" s="27"/>
      <c r="O6" s="27"/>
      <c r="P6" s="15"/>
      <c r="Q6" s="18"/>
      <c r="R6" s="1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  <c r="AG6" s="39"/>
    </row>
    <row r="7" spans="1:33" ht="18" customHeight="1">
      <c r="A7" s="244"/>
      <c r="B7" s="38"/>
      <c r="C7" s="839">
        <f>'朝顔'!$F$13</f>
        <v>1100</v>
      </c>
      <c r="D7" s="15"/>
      <c r="E7" s="15"/>
      <c r="F7" s="15"/>
      <c r="G7" s="15"/>
      <c r="H7" s="29"/>
      <c r="I7" s="29"/>
      <c r="J7" s="29"/>
      <c r="K7" s="29"/>
      <c r="L7" s="15"/>
      <c r="M7" s="18"/>
      <c r="N7" s="27"/>
      <c r="O7" s="27"/>
      <c r="P7" s="15"/>
      <c r="Q7" s="18"/>
      <c r="R7" s="18"/>
      <c r="S7" s="38"/>
      <c r="T7" s="38"/>
      <c r="U7" s="38"/>
      <c r="V7" s="244" t="s">
        <v>2</v>
      </c>
      <c r="W7" s="38"/>
      <c r="X7" s="38"/>
      <c r="Y7" s="38"/>
      <c r="Z7" s="38"/>
      <c r="AA7" s="38"/>
      <c r="AB7" s="38"/>
      <c r="AC7" s="38"/>
      <c r="AD7" s="38"/>
      <c r="AE7" s="38"/>
      <c r="AF7" s="39"/>
      <c r="AG7" s="39"/>
    </row>
    <row r="8" spans="1:33" ht="18" customHeight="1">
      <c r="A8" s="244"/>
      <c r="B8" s="38"/>
      <c r="C8" s="839"/>
      <c r="D8" s="15"/>
      <c r="E8" s="15"/>
      <c r="F8" s="15"/>
      <c r="G8" s="15"/>
      <c r="H8" s="29"/>
      <c r="I8" s="29"/>
      <c r="J8" s="29"/>
      <c r="K8" s="29"/>
      <c r="L8" s="15"/>
      <c r="M8" s="18"/>
      <c r="N8" s="27"/>
      <c r="O8" s="27"/>
      <c r="P8" s="15"/>
      <c r="Q8" s="18"/>
      <c r="R8" s="1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  <c r="AG8" s="39"/>
    </row>
    <row r="9" spans="1:33" ht="18" customHeight="1">
      <c r="A9" s="244"/>
      <c r="B9" s="38"/>
      <c r="C9" s="850" t="s">
        <v>685</v>
      </c>
      <c r="D9" s="15"/>
      <c r="E9" s="15"/>
      <c r="F9" s="460"/>
      <c r="G9" s="15"/>
      <c r="H9" s="29"/>
      <c r="I9" s="29"/>
      <c r="J9" s="29"/>
      <c r="K9" s="29"/>
      <c r="L9" s="15" t="s">
        <v>134</v>
      </c>
      <c r="M9" s="15"/>
      <c r="N9" s="18"/>
      <c r="O9" s="27"/>
      <c r="P9" s="15"/>
      <c r="Q9" s="18"/>
      <c r="R9" s="1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39"/>
    </row>
    <row r="10" spans="1:33" ht="18" customHeight="1">
      <c r="A10" s="244"/>
      <c r="B10" s="244"/>
      <c r="C10" s="851"/>
      <c r="D10" s="15"/>
      <c r="E10" s="15"/>
      <c r="F10" s="15"/>
      <c r="G10" s="15"/>
      <c r="H10" s="29"/>
      <c r="I10" s="29"/>
      <c r="J10" s="29"/>
      <c r="K10" s="29"/>
      <c r="L10" s="18" t="s">
        <v>667</v>
      </c>
      <c r="M10" s="841">
        <f>'朝顔'!$W$6</f>
        <v>1000</v>
      </c>
      <c r="N10" s="809"/>
      <c r="O10" s="39"/>
      <c r="P10" s="15"/>
      <c r="Q10" s="18"/>
      <c r="R10" s="1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  <c r="AG10" s="39"/>
    </row>
    <row r="11" spans="1:33" ht="18" customHeight="1">
      <c r="A11" s="244"/>
      <c r="B11" s="244"/>
      <c r="C11" s="244"/>
      <c r="D11" s="15"/>
      <c r="E11" s="15"/>
      <c r="F11" s="15"/>
      <c r="G11" s="15"/>
      <c r="H11" s="29"/>
      <c r="I11" s="29"/>
      <c r="J11" s="39"/>
      <c r="K11" s="29"/>
      <c r="L11" s="39"/>
      <c r="M11" s="39"/>
      <c r="N11" s="39"/>
      <c r="O11" s="27"/>
      <c r="P11" s="15"/>
      <c r="Q11" s="18"/>
      <c r="R11" s="1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  <c r="AG11" s="39"/>
    </row>
    <row r="12" spans="1:33" ht="18" customHeight="1">
      <c r="A12" s="244"/>
      <c r="B12" s="244"/>
      <c r="C12" s="244"/>
      <c r="D12" s="15"/>
      <c r="E12" s="15"/>
      <c r="F12" s="15"/>
      <c r="G12" s="15"/>
      <c r="H12" s="29"/>
      <c r="I12" s="29"/>
      <c r="J12" s="39"/>
      <c r="K12" s="39"/>
      <c r="L12" s="39"/>
      <c r="M12" s="39"/>
      <c r="N12" s="27"/>
      <c r="O12" s="27"/>
      <c r="P12" s="15"/>
      <c r="Q12" s="18"/>
      <c r="R12" s="1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  <c r="AG12" s="39"/>
    </row>
    <row r="13" spans="1:33" ht="18" customHeight="1">
      <c r="A13" s="244"/>
      <c r="B13" s="244"/>
      <c r="C13" s="244"/>
      <c r="D13" s="15"/>
      <c r="E13" s="15"/>
      <c r="F13" s="15"/>
      <c r="G13" s="15"/>
      <c r="H13" s="29"/>
      <c r="I13" s="29"/>
      <c r="J13" s="39"/>
      <c r="K13" s="39"/>
      <c r="L13" s="15" t="s">
        <v>666</v>
      </c>
      <c r="M13" s="15"/>
      <c r="N13" s="18"/>
      <c r="O13" s="27"/>
      <c r="P13" s="15"/>
      <c r="Q13" s="18"/>
      <c r="R13" s="1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/>
      <c r="AG13" s="39"/>
    </row>
    <row r="14" spans="1:33" ht="18" customHeight="1">
      <c r="A14" s="244"/>
      <c r="B14" s="38"/>
      <c r="C14" s="15"/>
      <c r="D14" s="15"/>
      <c r="E14" s="15"/>
      <c r="F14" s="15"/>
      <c r="G14" s="15"/>
      <c r="H14" s="29"/>
      <c r="I14" s="29"/>
      <c r="J14" s="29"/>
      <c r="K14" s="29"/>
      <c r="L14" s="18" t="s">
        <v>667</v>
      </c>
      <c r="M14" s="841">
        <f>'朝顔'!$W$6</f>
        <v>1000</v>
      </c>
      <c r="N14" s="809"/>
      <c r="O14" s="27"/>
      <c r="P14" s="15"/>
      <c r="Q14" s="18"/>
      <c r="R14" s="1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39"/>
    </row>
    <row r="15" spans="1:33" ht="18" customHeight="1">
      <c r="A15" s="244"/>
      <c r="B15" s="38"/>
      <c r="C15" s="15"/>
      <c r="D15" s="15"/>
      <c r="E15" s="15"/>
      <c r="F15" s="15"/>
      <c r="G15" s="15"/>
      <c r="H15" s="29"/>
      <c r="I15" s="29"/>
      <c r="J15" s="29"/>
      <c r="K15" s="29"/>
      <c r="L15" s="15"/>
      <c r="M15" s="18"/>
      <c r="N15" s="27"/>
      <c r="O15" s="27"/>
      <c r="P15" s="15"/>
      <c r="Q15" s="18"/>
      <c r="R15" s="1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  <c r="AG15" s="39"/>
    </row>
    <row r="16" spans="1:33" ht="18" customHeight="1">
      <c r="A16" s="244"/>
      <c r="B16" s="38"/>
      <c r="C16" s="15"/>
      <c r="D16" s="15"/>
      <c r="E16" s="15"/>
      <c r="F16" s="15"/>
      <c r="G16" s="15"/>
      <c r="H16" s="29"/>
      <c r="I16" s="29"/>
      <c r="J16" s="29"/>
      <c r="K16" s="29"/>
      <c r="L16" s="15"/>
      <c r="M16" s="18"/>
      <c r="N16" s="27"/>
      <c r="O16" s="27"/>
      <c r="P16" s="15"/>
      <c r="Q16" s="18"/>
      <c r="R16" s="1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  <c r="AG16" s="39"/>
    </row>
    <row r="17" spans="1:33" ht="18" customHeight="1">
      <c r="A17" s="244"/>
      <c r="B17" s="38"/>
      <c r="C17" s="15"/>
      <c r="D17" s="15"/>
      <c r="E17" s="15"/>
      <c r="F17" s="15"/>
      <c r="G17" s="15"/>
      <c r="H17" s="29"/>
      <c r="I17" s="29"/>
      <c r="J17" s="29"/>
      <c r="K17" s="29"/>
      <c r="L17" s="15"/>
      <c r="M17" s="18"/>
      <c r="N17" s="27"/>
      <c r="O17" s="27"/>
      <c r="P17" s="15"/>
      <c r="Q17" s="18"/>
      <c r="R17" s="1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AG17" s="39"/>
    </row>
    <row r="18" spans="1:33" ht="18" customHeight="1">
      <c r="A18" s="244"/>
      <c r="B18" s="38"/>
      <c r="C18" s="15"/>
      <c r="D18" s="15"/>
      <c r="E18" s="15"/>
      <c r="F18" s="15"/>
      <c r="G18" s="15"/>
      <c r="H18" s="29"/>
      <c r="I18" s="29"/>
      <c r="J18" s="29"/>
      <c r="K18" s="29"/>
      <c r="L18" s="15"/>
      <c r="M18" s="18"/>
      <c r="N18" s="27"/>
      <c r="O18" s="27"/>
      <c r="P18" s="15"/>
      <c r="Q18" s="18"/>
      <c r="R18" s="18"/>
      <c r="S18" s="38"/>
      <c r="T18" s="863" t="s">
        <v>665</v>
      </c>
      <c r="U18" s="863"/>
      <c r="V18" s="864">
        <f>'朝顔'!$W$6</f>
        <v>1000</v>
      </c>
      <c r="W18" s="864"/>
      <c r="X18" s="38"/>
      <c r="Y18" s="38"/>
      <c r="Z18" s="38"/>
      <c r="AA18" s="38"/>
      <c r="AB18" s="38"/>
      <c r="AC18" s="38"/>
      <c r="AD18" s="38"/>
      <c r="AE18" s="38"/>
      <c r="AF18" s="39"/>
      <c r="AG18" s="39"/>
    </row>
    <row r="19" spans="1:33" ht="18" customHeight="1">
      <c r="A19" s="244"/>
      <c r="B19" s="38"/>
      <c r="C19" s="15"/>
      <c r="D19" s="15"/>
      <c r="E19" s="15"/>
      <c r="F19" s="15"/>
      <c r="G19" s="15"/>
      <c r="H19" s="29"/>
      <c r="I19" s="29"/>
      <c r="J19" s="29"/>
      <c r="K19" s="29"/>
      <c r="L19" s="15"/>
      <c r="M19" s="18"/>
      <c r="N19" s="27"/>
      <c r="O19" s="27"/>
      <c r="P19" s="15"/>
      <c r="Q19" s="18"/>
      <c r="R19" s="1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  <c r="AG19" s="39"/>
    </row>
    <row r="20" spans="1:33" s="332" customFormat="1" ht="18" customHeight="1">
      <c r="A20" s="244"/>
      <c r="B20" s="244"/>
      <c r="C20" s="244" t="s">
        <v>686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9"/>
      <c r="O20" s="29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64"/>
      <c r="AC20" s="244"/>
      <c r="AD20" s="242"/>
      <c r="AE20" s="242"/>
      <c r="AF20" s="329"/>
      <c r="AG20" s="329"/>
    </row>
    <row r="21" spans="1:33" s="332" customFormat="1" ht="18" customHeight="1">
      <c r="A21" s="244"/>
      <c r="B21" s="244"/>
      <c r="C21" s="344"/>
      <c r="D21" s="244"/>
      <c r="E21" s="244"/>
      <c r="F21" s="244"/>
      <c r="G21" s="244"/>
      <c r="H21" s="244"/>
      <c r="I21" s="244"/>
      <c r="J21" s="244"/>
      <c r="K21" s="244"/>
      <c r="L21" s="66"/>
      <c r="M21" s="20"/>
      <c r="N21" s="163"/>
      <c r="O21" s="163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64"/>
      <c r="AC21" s="244"/>
      <c r="AD21" s="242"/>
      <c r="AE21" s="242"/>
      <c r="AF21" s="329"/>
      <c r="AG21" s="329"/>
    </row>
    <row r="22" spans="1:33" s="332" customFormat="1" ht="18" customHeight="1">
      <c r="A22" s="244"/>
      <c r="B22" s="244"/>
      <c r="C22" s="344"/>
      <c r="D22" s="244" t="s">
        <v>18</v>
      </c>
      <c r="E22" s="244"/>
      <c r="F22" s="244"/>
      <c r="G22" s="244" t="s">
        <v>688</v>
      </c>
      <c r="H22" s="244"/>
      <c r="I22" s="244"/>
      <c r="J22" s="244"/>
      <c r="K22" s="244"/>
      <c r="L22" s="541">
        <f>'朝顔'!$T$80</f>
        <v>78</v>
      </c>
      <c r="M22" s="843"/>
      <c r="N22" s="353" t="s">
        <v>6</v>
      </c>
      <c r="O22" s="813">
        <f>$V$18/1000</f>
        <v>1</v>
      </c>
      <c r="P22" s="813"/>
      <c r="Q22" s="353" t="s">
        <v>19</v>
      </c>
      <c r="R22" s="541">
        <f>$L$22*$O$22</f>
        <v>78</v>
      </c>
      <c r="S22" s="541"/>
      <c r="T22" s="244" t="s">
        <v>8</v>
      </c>
      <c r="U22" s="244"/>
      <c r="V22" s="244"/>
      <c r="W22" s="244"/>
      <c r="X22" s="244"/>
      <c r="Y22" s="244"/>
      <c r="Z22" s="244"/>
      <c r="AA22" s="244"/>
      <c r="AB22" s="264"/>
      <c r="AC22" s="244"/>
      <c r="AD22" s="242"/>
      <c r="AE22" s="242"/>
      <c r="AF22" s="329"/>
      <c r="AG22" s="329"/>
    </row>
    <row r="23" spans="1:33" s="332" customFormat="1" ht="18" customHeight="1">
      <c r="A23" s="380"/>
      <c r="B23" s="380"/>
      <c r="C23" s="381"/>
      <c r="D23" s="380"/>
      <c r="E23" s="380"/>
      <c r="F23" s="380"/>
      <c r="G23" s="380"/>
      <c r="H23" s="380"/>
      <c r="I23" s="380"/>
      <c r="J23" s="380"/>
      <c r="K23" s="380"/>
      <c r="L23" s="380"/>
      <c r="M23" s="385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264"/>
      <c r="AC23" s="244"/>
      <c r="AD23" s="242"/>
      <c r="AE23" s="242"/>
      <c r="AF23" s="329"/>
      <c r="AG23" s="329"/>
    </row>
    <row r="24" spans="1:33" s="332" customFormat="1" ht="18" customHeight="1">
      <c r="A24" s="380"/>
      <c r="B24" s="847" t="s">
        <v>9</v>
      </c>
      <c r="C24" s="847" t="s">
        <v>7</v>
      </c>
      <c r="D24" s="860" t="s">
        <v>691</v>
      </c>
      <c r="E24" s="861"/>
      <c r="F24" s="861"/>
      <c r="G24" s="847" t="s">
        <v>7</v>
      </c>
      <c r="H24" s="848">
        <f>$R$22</f>
        <v>78</v>
      </c>
      <c r="I24" s="848"/>
      <c r="J24" s="393" t="s">
        <v>6</v>
      </c>
      <c r="K24" s="849">
        <f>$C$7/1000</f>
        <v>1.1</v>
      </c>
      <c r="L24" s="849"/>
      <c r="M24" s="394" t="s">
        <v>11</v>
      </c>
      <c r="N24" s="847" t="s">
        <v>7</v>
      </c>
      <c r="O24" s="862">
        <f>$H$24*$K$24^2</f>
        <v>94</v>
      </c>
      <c r="P24" s="862"/>
      <c r="Q24" s="846" t="s">
        <v>690</v>
      </c>
      <c r="R24" s="809"/>
      <c r="S24" s="380"/>
      <c r="T24" s="380"/>
      <c r="U24" s="380"/>
      <c r="V24" s="380"/>
      <c r="W24" s="380"/>
      <c r="X24" s="385"/>
      <c r="Y24" s="380"/>
      <c r="Z24" s="264"/>
      <c r="AA24" s="244"/>
      <c r="AB24" s="242"/>
      <c r="AC24" s="242"/>
      <c r="AD24" s="242"/>
      <c r="AE24" s="242"/>
      <c r="AF24" s="329"/>
      <c r="AG24" s="329"/>
    </row>
    <row r="25" spans="1:33" s="332" customFormat="1" ht="18" customHeight="1">
      <c r="A25" s="380"/>
      <c r="B25" s="847"/>
      <c r="C25" s="847"/>
      <c r="D25" s="391"/>
      <c r="E25" s="391">
        <v>2</v>
      </c>
      <c r="F25" s="392"/>
      <c r="G25" s="847"/>
      <c r="H25" s="380"/>
      <c r="I25" s="380"/>
      <c r="J25" s="383">
        <v>2</v>
      </c>
      <c r="K25" s="380"/>
      <c r="L25" s="380"/>
      <c r="M25" s="380"/>
      <c r="N25" s="847"/>
      <c r="O25" s="862"/>
      <c r="P25" s="862"/>
      <c r="Q25" s="809"/>
      <c r="R25" s="809"/>
      <c r="S25" s="380"/>
      <c r="T25" s="380"/>
      <c r="U25" s="380"/>
      <c r="V25" s="380"/>
      <c r="W25" s="380"/>
      <c r="X25" s="380"/>
      <c r="Y25" s="380"/>
      <c r="Z25" s="264"/>
      <c r="AA25" s="244"/>
      <c r="AB25" s="242"/>
      <c r="AC25" s="242"/>
      <c r="AD25" s="242"/>
      <c r="AE25" s="242"/>
      <c r="AF25" s="329"/>
      <c r="AG25" s="329"/>
    </row>
    <row r="26" spans="1:33" s="332" customFormat="1" ht="18" customHeight="1">
      <c r="A26" s="380"/>
      <c r="B26" s="388"/>
      <c r="C26" s="388"/>
      <c r="D26" s="382"/>
      <c r="E26" s="382"/>
      <c r="F26" s="384"/>
      <c r="G26" s="380"/>
      <c r="H26" s="380"/>
      <c r="I26" s="383"/>
      <c r="J26" s="380"/>
      <c r="K26" s="385"/>
      <c r="L26" s="380"/>
      <c r="M26" s="383"/>
      <c r="N26" s="397"/>
      <c r="O26" s="397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264"/>
      <c r="AA26" s="244"/>
      <c r="AB26" s="242"/>
      <c r="AC26" s="242"/>
      <c r="AD26" s="242"/>
      <c r="AE26" s="242"/>
      <c r="AF26" s="329"/>
      <c r="AG26" s="329"/>
    </row>
    <row r="27" spans="1:33" s="332" customFormat="1" ht="18" customHeight="1">
      <c r="A27" s="380"/>
      <c r="B27" s="847" t="s">
        <v>13</v>
      </c>
      <c r="C27" s="847" t="s">
        <v>7</v>
      </c>
      <c r="D27" s="860" t="s">
        <v>9</v>
      </c>
      <c r="E27" s="860"/>
      <c r="F27" s="847" t="s">
        <v>68</v>
      </c>
      <c r="G27" s="858">
        <f>ROUND($O$24,0)*1000</f>
        <v>94000</v>
      </c>
      <c r="H27" s="858"/>
      <c r="I27" s="858"/>
      <c r="J27" s="847" t="s">
        <v>68</v>
      </c>
      <c r="K27" s="859">
        <f>$G$27/$G$28</f>
        <v>10</v>
      </c>
      <c r="L27" s="859"/>
      <c r="M27" s="868" t="s">
        <v>20</v>
      </c>
      <c r="N27" s="868"/>
      <c r="O27" s="847" t="str">
        <f>IF($K$27&lt;=$D$30,"＜","＞")</f>
        <v>＜</v>
      </c>
      <c r="P27" s="854" t="s">
        <v>15</v>
      </c>
      <c r="Q27" s="854"/>
      <c r="R27" s="855"/>
      <c r="S27" s="856">
        <v>1.3</v>
      </c>
      <c r="T27" s="856"/>
      <c r="U27" s="857" t="s">
        <v>6</v>
      </c>
      <c r="V27" s="852">
        <f>'使用材一覧'!$P$18</f>
        <v>165</v>
      </c>
      <c r="W27" s="852"/>
      <c r="X27" s="388"/>
      <c r="Y27" s="388"/>
      <c r="Z27" s="264"/>
      <c r="AA27" s="244"/>
      <c r="AB27" s="242"/>
      <c r="AC27" s="242"/>
      <c r="AD27" s="242"/>
      <c r="AE27" s="242"/>
      <c r="AF27" s="329"/>
      <c r="AG27" s="329"/>
    </row>
    <row r="28" spans="1:33" s="332" customFormat="1" ht="18" customHeight="1">
      <c r="A28" s="380"/>
      <c r="B28" s="847"/>
      <c r="C28" s="847"/>
      <c r="D28" s="847" t="s">
        <v>16</v>
      </c>
      <c r="E28" s="847"/>
      <c r="F28" s="847"/>
      <c r="G28" s="853">
        <f>'使用材一覧'!$P$16</f>
        <v>9440</v>
      </c>
      <c r="H28" s="853"/>
      <c r="I28" s="853"/>
      <c r="J28" s="847"/>
      <c r="K28" s="859"/>
      <c r="L28" s="859"/>
      <c r="M28" s="868"/>
      <c r="N28" s="868"/>
      <c r="O28" s="847"/>
      <c r="P28" s="854"/>
      <c r="Q28" s="854"/>
      <c r="R28" s="855"/>
      <c r="S28" s="856"/>
      <c r="T28" s="856"/>
      <c r="U28" s="857"/>
      <c r="V28" s="852"/>
      <c r="W28" s="852"/>
      <c r="X28" s="388"/>
      <c r="Y28" s="388"/>
      <c r="Z28" s="264"/>
      <c r="AA28" s="244"/>
      <c r="AB28" s="242"/>
      <c r="AC28" s="242"/>
      <c r="AD28" s="242"/>
      <c r="AE28" s="242"/>
      <c r="AF28" s="329"/>
      <c r="AG28" s="329"/>
    </row>
    <row r="29" spans="1:33" s="332" customFormat="1" ht="18" customHeight="1">
      <c r="A29" s="380"/>
      <c r="B29" s="380"/>
      <c r="C29" s="380"/>
      <c r="D29" s="388"/>
      <c r="E29" s="388"/>
      <c r="F29" s="388"/>
      <c r="G29" s="388"/>
      <c r="H29" s="383"/>
      <c r="I29" s="380"/>
      <c r="J29" s="380"/>
      <c r="K29" s="383"/>
      <c r="L29" s="380"/>
      <c r="M29" s="385"/>
      <c r="N29" s="380"/>
      <c r="O29" s="383"/>
      <c r="P29" s="397"/>
      <c r="Q29" s="397"/>
      <c r="R29" s="380"/>
      <c r="S29" s="380"/>
      <c r="T29" s="380"/>
      <c r="U29" s="380"/>
      <c r="V29" s="380"/>
      <c r="W29" s="380"/>
      <c r="X29" s="405"/>
      <c r="Y29" s="405"/>
      <c r="Z29" s="405"/>
      <c r="AA29" s="405"/>
      <c r="AB29" s="264"/>
      <c r="AC29" s="244"/>
      <c r="AD29" s="242"/>
      <c r="AE29" s="242"/>
      <c r="AF29" s="329"/>
      <c r="AG29" s="329"/>
    </row>
    <row r="30" spans="1:33" s="332" customFormat="1" ht="18" customHeight="1">
      <c r="A30" s="381"/>
      <c r="B30" s="380"/>
      <c r="C30" s="387" t="s">
        <v>7</v>
      </c>
      <c r="D30" s="865">
        <f>ROUNDDOWN($S$27*$V$27,0)</f>
        <v>214</v>
      </c>
      <c r="E30" s="865"/>
      <c r="F30" s="380" t="s">
        <v>17</v>
      </c>
      <c r="G30" s="380"/>
      <c r="H30" s="380"/>
      <c r="I30" s="866">
        <f>IF($K$27&lt;=$D$30,"","NG")</f>
      </c>
      <c r="J30" s="867"/>
      <c r="K30" s="867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405"/>
      <c r="W30" s="405"/>
      <c r="X30" s="405"/>
      <c r="Y30" s="405"/>
      <c r="Z30" s="264"/>
      <c r="AA30" s="244"/>
      <c r="AB30" s="242"/>
      <c r="AC30" s="242"/>
      <c r="AD30" s="242"/>
      <c r="AE30" s="242"/>
      <c r="AF30" s="329"/>
      <c r="AG30" s="329"/>
    </row>
    <row r="31" spans="1:33" s="332" customFormat="1" ht="18" customHeight="1">
      <c r="A31" s="380"/>
      <c r="B31" s="380"/>
      <c r="C31" s="387"/>
      <c r="D31" s="387"/>
      <c r="E31" s="387"/>
      <c r="F31" s="387"/>
      <c r="G31" s="404"/>
      <c r="H31" s="397"/>
      <c r="I31" s="383"/>
      <c r="J31" s="408"/>
      <c r="K31" s="408"/>
      <c r="L31" s="408"/>
      <c r="M31" s="384"/>
      <c r="N31" s="384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242"/>
      <c r="AC31" s="242"/>
      <c r="AD31" s="242"/>
      <c r="AE31" s="242"/>
      <c r="AF31" s="329"/>
      <c r="AG31" s="329"/>
    </row>
    <row r="32" spans="1:33" ht="18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38"/>
      <c r="AE32" s="38"/>
      <c r="AF32" s="39"/>
      <c r="AG32" s="39"/>
    </row>
    <row r="33" spans="1:33" ht="18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38"/>
      <c r="AE33" s="38"/>
      <c r="AF33" s="39"/>
      <c r="AG33" s="39"/>
    </row>
    <row r="34" spans="1:33" ht="18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38"/>
      <c r="AE34" s="38"/>
      <c r="AF34" s="39"/>
      <c r="AG34" s="39"/>
    </row>
    <row r="35" spans="1:33" ht="18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38"/>
      <c r="AE35" s="38"/>
      <c r="AF35" s="39"/>
      <c r="AG35" s="39"/>
    </row>
    <row r="36" spans="1:33" ht="18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38"/>
      <c r="AE36" s="38"/>
      <c r="AF36" s="39"/>
      <c r="AG36" s="39"/>
    </row>
    <row r="37" spans="1:33" ht="18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38"/>
      <c r="AE37" s="38"/>
      <c r="AF37" s="39"/>
      <c r="AG37" s="39"/>
    </row>
    <row r="38" spans="1:33" ht="18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38"/>
      <c r="AE38" s="38"/>
      <c r="AF38" s="39"/>
      <c r="AG38" s="39"/>
    </row>
    <row r="39" spans="1:33" ht="18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38"/>
      <c r="AE39" s="38"/>
      <c r="AF39" s="39"/>
      <c r="AG39" s="39"/>
    </row>
    <row r="40" spans="1:33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38"/>
      <c r="AE40" s="38"/>
      <c r="AF40" s="39"/>
      <c r="AG40" s="39"/>
    </row>
    <row r="41" spans="1:33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8"/>
      <c r="AE41" s="38"/>
      <c r="AF41" s="39"/>
      <c r="AG41" s="39"/>
    </row>
    <row r="42" spans="1:33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8"/>
      <c r="AE42" s="38"/>
      <c r="AF42" s="39"/>
      <c r="AG42" s="39"/>
    </row>
    <row r="43" spans="1:33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8"/>
      <c r="AE43" s="38"/>
      <c r="AF43" s="39"/>
      <c r="AG43" s="39"/>
    </row>
    <row r="44" spans="1:33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8"/>
      <c r="AE44" s="38"/>
      <c r="AF44" s="39"/>
      <c r="AG44" s="39"/>
    </row>
    <row r="45" spans="1:33" ht="13.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8"/>
      <c r="AE45" s="38"/>
      <c r="AF45" s="39"/>
      <c r="AG45" s="39"/>
    </row>
    <row r="46" spans="1:33" ht="13.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9"/>
      <c r="AG46" s="39"/>
    </row>
    <row r="47" spans="1:33" ht="13.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9"/>
      <c r="AG47" s="39"/>
    </row>
    <row r="48" spans="1:33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9"/>
      <c r="AG48" s="39"/>
    </row>
    <row r="49" spans="1:33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9"/>
      <c r="AG49" s="39"/>
    </row>
    <row r="50" spans="1:33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9"/>
      <c r="AG50" s="39"/>
    </row>
    <row r="51" spans="1:33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9"/>
      <c r="AG51" s="39"/>
    </row>
    <row r="52" spans="1:33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9"/>
      <c r="AG52" s="39"/>
    </row>
    <row r="53" spans="1:33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9"/>
      <c r="AG53" s="39"/>
    </row>
    <row r="54" spans="1:33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9"/>
      <c r="AG54" s="39"/>
    </row>
    <row r="55" spans="1:33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3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1:33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1:33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</sheetData>
  <sheetProtection sheet="1" objects="1" scenarios="1"/>
  <mergeCells count="35">
    <mergeCell ref="T18:U18"/>
    <mergeCell ref="V18:W18"/>
    <mergeCell ref="D30:E30"/>
    <mergeCell ref="I30:K30"/>
    <mergeCell ref="M27:N28"/>
    <mergeCell ref="O27:O28"/>
    <mergeCell ref="D27:E27"/>
    <mergeCell ref="F27:F28"/>
    <mergeCell ref="D28:E28"/>
    <mergeCell ref="R22:S22"/>
    <mergeCell ref="B27:B28"/>
    <mergeCell ref="C27:C28"/>
    <mergeCell ref="L22:M22"/>
    <mergeCell ref="O22:P22"/>
    <mergeCell ref="B24:B25"/>
    <mergeCell ref="C24:C25"/>
    <mergeCell ref="D24:F24"/>
    <mergeCell ref="O24:P25"/>
    <mergeCell ref="V27:W28"/>
    <mergeCell ref="G28:I28"/>
    <mergeCell ref="P27:R28"/>
    <mergeCell ref="S27:T28"/>
    <mergeCell ref="U27:U28"/>
    <mergeCell ref="G27:I27"/>
    <mergeCell ref="J27:J28"/>
    <mergeCell ref="K27:L28"/>
    <mergeCell ref="C7:C8"/>
    <mergeCell ref="C9:C10"/>
    <mergeCell ref="M14:N14"/>
    <mergeCell ref="M10:N10"/>
    <mergeCell ref="Q24:R25"/>
    <mergeCell ref="G24:G25"/>
    <mergeCell ref="H24:I24"/>
    <mergeCell ref="K24:L24"/>
    <mergeCell ref="N24:N25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9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8" width="3.3984375" style="2" customWidth="1"/>
    <col min="29" max="29" width="22.09765625" style="2" customWidth="1"/>
    <col min="30" max="30" width="13.8984375" style="2" customWidth="1"/>
    <col min="31" max="31" width="12.69921875" style="2" customWidth="1"/>
    <col min="32" max="84" width="3.3984375" style="2" customWidth="1"/>
    <col min="85" max="16384" width="4.69921875" style="2" customWidth="1"/>
  </cols>
  <sheetData>
    <row r="1" ht="24" customHeight="1">
      <c r="B1" s="488" t="s">
        <v>723</v>
      </c>
    </row>
    <row r="2" spans="2:39" ht="18" customHeight="1">
      <c r="B2" s="487" t="s">
        <v>722</v>
      </c>
      <c r="C2" s="15"/>
      <c r="D2" s="15"/>
      <c r="F2" s="15"/>
      <c r="G2" s="15"/>
      <c r="H2" s="29"/>
      <c r="I2" s="29"/>
      <c r="J2" s="29"/>
      <c r="K2" s="29"/>
      <c r="L2" s="15"/>
      <c r="M2" s="18"/>
      <c r="N2" s="27"/>
      <c r="O2" s="27"/>
      <c r="P2" s="15"/>
      <c r="Q2" s="18"/>
      <c r="R2" s="1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9"/>
      <c r="AK2" s="39"/>
      <c r="AL2" s="39"/>
      <c r="AM2" s="39"/>
    </row>
    <row r="3" spans="1:39" ht="18" customHeight="1">
      <c r="A3" s="38"/>
      <c r="B3" s="38"/>
      <c r="C3" s="66"/>
      <c r="D3" s="15"/>
      <c r="E3" s="385" t="str">
        <f>'使用材一覧'!$N$13</f>
        <v>□60×2.3(STKR400)</v>
      </c>
      <c r="F3" s="15"/>
      <c r="G3" s="15"/>
      <c r="H3" s="15"/>
      <c r="I3" s="15"/>
      <c r="J3" s="15"/>
      <c r="K3" s="15"/>
      <c r="L3" s="18"/>
      <c r="M3" s="18"/>
      <c r="N3" s="168"/>
      <c r="O3" s="168"/>
      <c r="P3" s="166"/>
      <c r="Q3" s="15"/>
      <c r="R3" s="15"/>
      <c r="S3" s="1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  <c r="AK3" s="39"/>
      <c r="AL3" s="39"/>
      <c r="AM3" s="39"/>
    </row>
    <row r="4" spans="1:39" s="332" customFormat="1" ht="18" customHeight="1">
      <c r="A4" s="244"/>
      <c r="B4" s="244"/>
      <c r="C4" s="244"/>
      <c r="D4" s="344"/>
      <c r="E4" s="244"/>
      <c r="F4" s="244"/>
      <c r="G4" s="244"/>
      <c r="H4" s="244"/>
      <c r="I4" s="244"/>
      <c r="J4" s="244"/>
      <c r="K4" s="244"/>
      <c r="L4" s="244"/>
      <c r="M4" s="373"/>
      <c r="N4" s="373"/>
      <c r="O4" s="373"/>
      <c r="P4" s="377"/>
      <c r="Q4" s="469" t="s">
        <v>21</v>
      </c>
      <c r="R4" s="244"/>
      <c r="S4" s="264"/>
      <c r="T4" s="264"/>
      <c r="U4" s="244"/>
      <c r="V4" s="244"/>
      <c r="W4" s="244"/>
      <c r="X4" s="244"/>
      <c r="Y4" s="244"/>
      <c r="Z4" s="244"/>
      <c r="AA4" s="244"/>
      <c r="AB4" s="244"/>
      <c r="AC4" s="244"/>
      <c r="AD4" s="242"/>
      <c r="AE4" s="242"/>
      <c r="AF4" s="242"/>
      <c r="AG4" s="242"/>
      <c r="AH4" s="242"/>
      <c r="AI4" s="242"/>
      <c r="AJ4" s="329"/>
      <c r="AK4" s="329"/>
      <c r="AL4" s="329"/>
      <c r="AM4" s="329"/>
    </row>
    <row r="5" spans="1:39" s="332" customFormat="1" ht="18" customHeight="1">
      <c r="A5" s="247"/>
      <c r="B5" s="247"/>
      <c r="C5" s="247"/>
      <c r="D5" s="247"/>
      <c r="E5" s="351"/>
      <c r="F5" s="247"/>
      <c r="G5" s="247"/>
      <c r="H5" s="247"/>
      <c r="I5" s="247"/>
      <c r="J5" s="247"/>
      <c r="K5" s="247"/>
      <c r="L5" s="247"/>
      <c r="M5" s="247"/>
      <c r="N5" s="378"/>
      <c r="O5" s="378"/>
      <c r="P5" s="247"/>
      <c r="Q5" s="247"/>
      <c r="R5" s="247"/>
      <c r="S5" s="247"/>
      <c r="T5" s="244"/>
      <c r="U5" s="244"/>
      <c r="V5" s="244"/>
      <c r="W5" s="244"/>
      <c r="X5" s="329"/>
      <c r="Y5" s="244"/>
      <c r="Z5" s="244"/>
      <c r="AA5" s="244"/>
      <c r="AB5" s="244"/>
      <c r="AC5" s="242"/>
      <c r="AD5" s="242"/>
      <c r="AE5" s="242"/>
      <c r="AF5" s="242"/>
      <c r="AG5" s="242"/>
      <c r="AH5" s="242"/>
      <c r="AI5" s="242"/>
      <c r="AJ5" s="329"/>
      <c r="AK5" s="329"/>
      <c r="AL5" s="329"/>
      <c r="AM5" s="329"/>
    </row>
    <row r="6" spans="1:39" s="332" customFormat="1" ht="18" customHeight="1">
      <c r="A6" s="247"/>
      <c r="B6" s="247"/>
      <c r="C6" s="247"/>
      <c r="D6" s="247"/>
      <c r="E6" s="247"/>
      <c r="F6" s="247"/>
      <c r="G6" s="379"/>
      <c r="H6" s="247"/>
      <c r="I6" s="247" t="s">
        <v>693</v>
      </c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4"/>
      <c r="U6" s="244"/>
      <c r="V6" s="244"/>
      <c r="W6" s="353" t="s">
        <v>22</v>
      </c>
      <c r="X6" s="244"/>
      <c r="Y6" s="344"/>
      <c r="Z6" s="244"/>
      <c r="AA6" s="244"/>
      <c r="AB6" s="242"/>
      <c r="AC6" s="242"/>
      <c r="AD6" s="242"/>
      <c r="AE6" s="242"/>
      <c r="AF6" s="242"/>
      <c r="AG6" s="242"/>
      <c r="AH6" s="242"/>
      <c r="AI6" s="242"/>
      <c r="AJ6" s="329"/>
      <c r="AK6" s="329"/>
      <c r="AL6" s="329"/>
      <c r="AM6" s="329"/>
    </row>
    <row r="7" spans="1:39" s="332" customFormat="1" ht="18" customHeight="1">
      <c r="A7" s="329"/>
      <c r="B7" s="329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4"/>
      <c r="U7" s="244"/>
      <c r="V7" s="244"/>
      <c r="W7" s="244"/>
      <c r="X7" s="244"/>
      <c r="Y7" s="344"/>
      <c r="Z7" s="244"/>
      <c r="AA7" s="264"/>
      <c r="AB7" s="242"/>
      <c r="AC7" s="242"/>
      <c r="AD7" s="242"/>
      <c r="AE7" s="242"/>
      <c r="AF7" s="242"/>
      <c r="AG7" s="242"/>
      <c r="AH7" s="242"/>
      <c r="AI7" s="242"/>
      <c r="AJ7" s="329"/>
      <c r="AK7" s="329"/>
      <c r="AL7" s="329"/>
      <c r="AM7" s="329"/>
    </row>
    <row r="8" spans="1:39" s="332" customFormat="1" ht="18" customHeight="1">
      <c r="A8" s="329"/>
      <c r="B8" s="329"/>
      <c r="C8" s="247"/>
      <c r="D8" s="247"/>
      <c r="E8" s="872">
        <f>'朝顔'!$F$13</f>
        <v>1100</v>
      </c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355"/>
      <c r="Q8" s="247"/>
      <c r="R8" s="329"/>
      <c r="S8" s="247"/>
      <c r="T8" s="244"/>
      <c r="U8" s="815" t="s">
        <v>217</v>
      </c>
      <c r="V8" s="814"/>
      <c r="W8" s="244"/>
      <c r="X8" s="329"/>
      <c r="Y8" s="344"/>
      <c r="Z8" s="244"/>
      <c r="AA8" s="264"/>
      <c r="AB8" s="242"/>
      <c r="AC8" s="242"/>
      <c r="AD8" s="242"/>
      <c r="AE8" s="242"/>
      <c r="AF8" s="242"/>
      <c r="AG8" s="242"/>
      <c r="AH8" s="242"/>
      <c r="AI8" s="242"/>
      <c r="AJ8" s="329"/>
      <c r="AK8" s="329"/>
      <c r="AL8" s="329"/>
      <c r="AM8" s="329"/>
    </row>
    <row r="9" spans="1:39" s="332" customFormat="1" ht="18" customHeight="1">
      <c r="A9" s="247"/>
      <c r="B9" s="427"/>
      <c r="C9" s="247"/>
      <c r="D9" s="247"/>
      <c r="E9" s="872"/>
      <c r="F9" s="247"/>
      <c r="G9" s="247"/>
      <c r="H9" s="247"/>
      <c r="I9" s="247"/>
      <c r="J9" s="247"/>
      <c r="K9" s="247"/>
      <c r="L9" s="247"/>
      <c r="M9" s="465"/>
      <c r="N9" s="247"/>
      <c r="O9" s="247"/>
      <c r="P9" s="247"/>
      <c r="Q9" s="247"/>
      <c r="R9" s="247"/>
      <c r="S9" s="247"/>
      <c r="T9" s="244"/>
      <c r="U9" s="244"/>
      <c r="V9" s="244"/>
      <c r="W9" s="244"/>
      <c r="X9" s="244"/>
      <c r="Y9" s="344"/>
      <c r="Z9" s="244"/>
      <c r="AA9" s="358"/>
      <c r="AB9" s="242"/>
      <c r="AC9" s="242"/>
      <c r="AD9" s="242"/>
      <c r="AE9" s="242"/>
      <c r="AF9" s="242"/>
      <c r="AG9" s="242"/>
      <c r="AH9" s="242"/>
      <c r="AI9" s="242"/>
      <c r="AJ9" s="329"/>
      <c r="AK9" s="329"/>
      <c r="AL9" s="329"/>
      <c r="AM9" s="329"/>
    </row>
    <row r="10" spans="1:39" s="332" customFormat="1" ht="18" customHeight="1">
      <c r="A10" s="247"/>
      <c r="B10" s="329"/>
      <c r="C10" s="247"/>
      <c r="D10" s="247"/>
      <c r="E10" s="881" t="s">
        <v>669</v>
      </c>
      <c r="F10" s="247"/>
      <c r="G10" s="247"/>
      <c r="H10" s="247"/>
      <c r="I10" s="247"/>
      <c r="J10" s="247"/>
      <c r="K10" s="470"/>
      <c r="L10" s="470"/>
      <c r="M10" s="247"/>
      <c r="N10" s="247" t="s">
        <v>692</v>
      </c>
      <c r="O10" s="247"/>
      <c r="P10" s="247"/>
      <c r="Q10" s="247"/>
      <c r="R10" s="247"/>
      <c r="S10" s="247"/>
      <c r="T10" s="244"/>
      <c r="U10" s="244"/>
      <c r="V10" s="329"/>
      <c r="W10" s="329"/>
      <c r="X10" s="344"/>
      <c r="Y10" s="244"/>
      <c r="Z10" s="244"/>
      <c r="AA10" s="244"/>
      <c r="AB10" s="242"/>
      <c r="AC10" s="242"/>
      <c r="AD10" s="242"/>
      <c r="AE10" s="242"/>
      <c r="AF10" s="242"/>
      <c r="AG10" s="242"/>
      <c r="AH10" s="242"/>
      <c r="AI10" s="242"/>
      <c r="AJ10" s="329"/>
      <c r="AK10" s="329"/>
      <c r="AL10" s="329"/>
      <c r="AM10" s="329"/>
    </row>
    <row r="11" spans="1:39" s="332" customFormat="1" ht="18" customHeight="1">
      <c r="A11" s="247"/>
      <c r="B11" s="329"/>
      <c r="C11" s="822">
        <f>'朝顔'!$F$17+'朝顔'!$F$13/2</f>
        <v>1450</v>
      </c>
      <c r="D11" s="355"/>
      <c r="E11" s="881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876">
        <f>SQRT($C$11^2+$L$20^2)</f>
        <v>1761</v>
      </c>
      <c r="Q11" s="876"/>
      <c r="R11" s="329"/>
      <c r="S11" s="247"/>
      <c r="T11" s="244"/>
      <c r="U11" s="244"/>
      <c r="V11" s="244"/>
      <c r="W11" s="244"/>
      <c r="X11" s="244"/>
      <c r="Y11" s="344"/>
      <c r="Z11" s="244"/>
      <c r="AA11" s="244"/>
      <c r="AB11" s="242"/>
      <c r="AC11" s="242"/>
      <c r="AD11" s="242"/>
      <c r="AE11" s="242"/>
      <c r="AF11" s="242"/>
      <c r="AG11" s="242"/>
      <c r="AH11" s="242"/>
      <c r="AI11" s="242"/>
      <c r="AJ11" s="329"/>
      <c r="AK11" s="329"/>
      <c r="AL11" s="329"/>
      <c r="AM11" s="329"/>
    </row>
    <row r="12" spans="1:39" s="332" customFormat="1" ht="18" customHeight="1">
      <c r="A12" s="247"/>
      <c r="B12" s="329"/>
      <c r="C12" s="822"/>
      <c r="D12" s="247"/>
      <c r="E12" s="35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329"/>
      <c r="Q12" s="329"/>
      <c r="R12" s="329"/>
      <c r="S12" s="247"/>
      <c r="T12" s="66"/>
      <c r="U12" s="244"/>
      <c r="V12" s="244"/>
      <c r="W12" s="244"/>
      <c r="X12" s="244"/>
      <c r="Y12" s="344"/>
      <c r="Z12" s="244"/>
      <c r="AA12" s="244"/>
      <c r="AB12" s="242"/>
      <c r="AC12" s="242"/>
      <c r="AD12" s="242"/>
      <c r="AE12" s="242"/>
      <c r="AF12" s="242"/>
      <c r="AG12" s="242"/>
      <c r="AH12" s="242"/>
      <c r="AI12" s="242"/>
      <c r="AJ12" s="329"/>
      <c r="AK12" s="329"/>
      <c r="AL12" s="329"/>
      <c r="AM12" s="329"/>
    </row>
    <row r="13" spans="1:39" s="332" customFormat="1" ht="18" customHeight="1">
      <c r="A13" s="247"/>
      <c r="B13" s="329"/>
      <c r="C13" s="879" t="s">
        <v>668</v>
      </c>
      <c r="D13" s="247"/>
      <c r="E13" s="873">
        <f>'朝顔'!$F$17</f>
        <v>900</v>
      </c>
      <c r="F13" s="247"/>
      <c r="G13" s="247"/>
      <c r="H13" s="247"/>
      <c r="I13" s="247"/>
      <c r="J13" s="247"/>
      <c r="K13" s="247"/>
      <c r="L13" s="247"/>
      <c r="M13" s="247"/>
      <c r="N13" s="248"/>
      <c r="O13" s="248"/>
      <c r="P13" s="870" t="s">
        <v>666</v>
      </c>
      <c r="Q13" s="871"/>
      <c r="R13" s="248"/>
      <c r="S13" s="244"/>
      <c r="T13" s="244"/>
      <c r="U13" s="815" t="s">
        <v>23</v>
      </c>
      <c r="V13" s="815"/>
      <c r="W13" s="344"/>
      <c r="X13" s="244"/>
      <c r="Y13" s="244"/>
      <c r="Z13" s="248"/>
      <c r="AA13" s="244"/>
      <c r="AB13" s="242"/>
      <c r="AC13" s="242"/>
      <c r="AD13" s="242"/>
      <c r="AE13" s="242"/>
      <c r="AF13" s="242"/>
      <c r="AG13" s="242"/>
      <c r="AH13" s="242"/>
      <c r="AI13" s="242"/>
      <c r="AJ13" s="329"/>
      <c r="AK13" s="329"/>
      <c r="AL13" s="329"/>
      <c r="AM13" s="329"/>
    </row>
    <row r="14" spans="1:39" s="332" customFormat="1" ht="18" customHeight="1">
      <c r="A14" s="247"/>
      <c r="B14" s="427"/>
      <c r="C14" s="880"/>
      <c r="D14" s="247"/>
      <c r="E14" s="874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354" t="s">
        <v>656</v>
      </c>
      <c r="Q14" s="741">
        <f>'朝顔'!$W$6</f>
        <v>1000</v>
      </c>
      <c r="R14" s="869"/>
      <c r="S14" s="247"/>
      <c r="T14" s="244"/>
      <c r="U14" s="244"/>
      <c r="V14" s="244"/>
      <c r="W14" s="244"/>
      <c r="X14" s="344"/>
      <c r="Y14" s="244"/>
      <c r="Z14" s="244"/>
      <c r="AA14" s="244"/>
      <c r="AB14" s="242"/>
      <c r="AC14" s="242"/>
      <c r="AD14" s="242"/>
      <c r="AE14" s="242"/>
      <c r="AF14" s="242"/>
      <c r="AG14" s="242"/>
      <c r="AH14" s="242"/>
      <c r="AI14" s="242"/>
      <c r="AJ14" s="329"/>
      <c r="AK14" s="329"/>
      <c r="AL14" s="329"/>
      <c r="AM14" s="329"/>
    </row>
    <row r="15" spans="1:39" s="332" customFormat="1" ht="18" customHeight="1">
      <c r="A15" s="247"/>
      <c r="B15" s="357"/>
      <c r="C15" s="355"/>
      <c r="D15" s="351"/>
      <c r="E15" s="878" t="s">
        <v>670</v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8"/>
      <c r="S15" s="247"/>
      <c r="T15" s="244"/>
      <c r="U15" s="244" t="s">
        <v>24</v>
      </c>
      <c r="V15" s="244"/>
      <c r="W15" s="244"/>
      <c r="X15" s="344"/>
      <c r="Y15" s="244"/>
      <c r="Z15" s="244"/>
      <c r="AA15" s="244"/>
      <c r="AB15" s="242"/>
      <c r="AC15" s="242"/>
      <c r="AD15" s="242"/>
      <c r="AE15" s="242"/>
      <c r="AF15" s="242"/>
      <c r="AG15" s="242"/>
      <c r="AH15" s="242"/>
      <c r="AI15" s="242"/>
      <c r="AJ15" s="329"/>
      <c r="AK15" s="329"/>
      <c r="AL15" s="329"/>
      <c r="AM15" s="329"/>
    </row>
    <row r="16" spans="1:39" s="332" customFormat="1" ht="18" customHeight="1">
      <c r="A16" s="247"/>
      <c r="B16" s="355"/>
      <c r="C16" s="357"/>
      <c r="D16" s="247"/>
      <c r="E16" s="878"/>
      <c r="F16" s="247"/>
      <c r="G16" s="247"/>
      <c r="H16" s="247"/>
      <c r="I16" s="877">
        <f>'朝顔'!$L$23</f>
        <v>1500</v>
      </c>
      <c r="J16" s="877"/>
      <c r="K16" s="877"/>
      <c r="L16" s="247"/>
      <c r="M16" s="247"/>
      <c r="N16" s="247"/>
      <c r="O16" s="247"/>
      <c r="P16" s="247"/>
      <c r="Q16" s="247"/>
      <c r="R16" s="248"/>
      <c r="S16" s="247"/>
      <c r="T16" s="244"/>
      <c r="U16" s="244"/>
      <c r="V16" s="244"/>
      <c r="W16" s="244"/>
      <c r="X16" s="244"/>
      <c r="Y16" s="344"/>
      <c r="Z16" s="244"/>
      <c r="AA16" s="244"/>
      <c r="AB16" s="242"/>
      <c r="AC16" s="242"/>
      <c r="AD16" s="242"/>
      <c r="AE16" s="242"/>
      <c r="AF16" s="242"/>
      <c r="AG16" s="242"/>
      <c r="AH16" s="242"/>
      <c r="AI16" s="242"/>
      <c r="AJ16" s="329"/>
      <c r="AK16" s="329"/>
      <c r="AL16" s="329"/>
      <c r="AM16" s="329"/>
    </row>
    <row r="17" spans="1:39" s="332" customFormat="1" ht="18" customHeight="1">
      <c r="A17" s="247"/>
      <c r="B17" s="247"/>
      <c r="C17" s="247"/>
      <c r="D17" s="247"/>
      <c r="E17" s="247"/>
      <c r="F17" s="247"/>
      <c r="G17" s="247"/>
      <c r="H17" s="247"/>
      <c r="I17" s="247" t="s">
        <v>694</v>
      </c>
      <c r="J17" s="247"/>
      <c r="K17" s="247"/>
      <c r="L17" s="247"/>
      <c r="M17" s="247"/>
      <c r="N17" s="247"/>
      <c r="O17" s="247"/>
      <c r="P17" s="247"/>
      <c r="Q17" s="247"/>
      <c r="R17" s="248"/>
      <c r="S17" s="247"/>
      <c r="T17" s="244"/>
      <c r="U17" s="244"/>
      <c r="V17" s="244"/>
      <c r="W17" s="244"/>
      <c r="X17" s="244"/>
      <c r="Y17" s="344"/>
      <c r="Z17" s="244"/>
      <c r="AA17" s="244"/>
      <c r="AB17" s="242"/>
      <c r="AC17" s="242"/>
      <c r="AD17" s="242"/>
      <c r="AE17" s="242"/>
      <c r="AF17" s="242"/>
      <c r="AG17" s="242"/>
      <c r="AH17" s="242"/>
      <c r="AI17" s="242"/>
      <c r="AJ17" s="329"/>
      <c r="AK17" s="329"/>
      <c r="AL17" s="329"/>
      <c r="AM17" s="329"/>
    </row>
    <row r="18" spans="1:39" s="332" customFormat="1" ht="18" customHeight="1">
      <c r="A18" s="247"/>
      <c r="B18" s="247"/>
      <c r="C18" s="428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8"/>
      <c r="S18" s="247"/>
      <c r="T18" s="244"/>
      <c r="U18" s="244"/>
      <c r="V18" s="244"/>
      <c r="W18" s="244"/>
      <c r="X18" s="244"/>
      <c r="Y18" s="344"/>
      <c r="Z18" s="244"/>
      <c r="AA18" s="244"/>
      <c r="AB18" s="242"/>
      <c r="AC18" s="242"/>
      <c r="AD18" s="242"/>
      <c r="AE18" s="242"/>
      <c r="AF18" s="242"/>
      <c r="AG18" s="242"/>
      <c r="AH18" s="242"/>
      <c r="AI18" s="242"/>
      <c r="AJ18" s="329"/>
      <c r="AK18" s="329"/>
      <c r="AL18" s="329"/>
      <c r="AM18" s="329"/>
    </row>
    <row r="19" spans="1:39" s="332" customFormat="1" ht="18" customHeight="1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8"/>
      <c r="S19" s="247"/>
      <c r="T19" s="244"/>
      <c r="U19" s="244"/>
      <c r="V19" s="244"/>
      <c r="W19" s="244"/>
      <c r="X19" s="244"/>
      <c r="Y19" s="344"/>
      <c r="Z19" s="244"/>
      <c r="AA19" s="244"/>
      <c r="AB19" s="242"/>
      <c r="AC19" s="242"/>
      <c r="AD19" s="242"/>
      <c r="AE19" s="242"/>
      <c r="AF19" s="242"/>
      <c r="AG19" s="242"/>
      <c r="AH19" s="242"/>
      <c r="AI19" s="242"/>
      <c r="AJ19" s="329"/>
      <c r="AK19" s="329"/>
      <c r="AL19" s="329"/>
      <c r="AM19" s="329"/>
    </row>
    <row r="20" spans="1:39" s="332" customFormat="1" ht="18" customHeight="1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803">
        <f>'朝顔'!$K$22</f>
        <v>1000</v>
      </c>
      <c r="M20" s="875"/>
      <c r="N20" s="248"/>
      <c r="O20" s="248"/>
      <c r="P20" s="247"/>
      <c r="Q20" s="247"/>
      <c r="R20" s="248"/>
      <c r="S20" s="247"/>
      <c r="T20" s="244"/>
      <c r="U20" s="244"/>
      <c r="V20" s="244"/>
      <c r="W20" s="244"/>
      <c r="X20" s="244"/>
      <c r="Y20" s="344"/>
      <c r="Z20" s="344"/>
      <c r="AA20" s="244"/>
      <c r="AB20" s="242"/>
      <c r="AC20" s="242"/>
      <c r="AD20" s="242"/>
      <c r="AE20" s="242"/>
      <c r="AF20" s="242"/>
      <c r="AG20" s="242"/>
      <c r="AH20" s="242"/>
      <c r="AI20" s="242"/>
      <c r="AJ20" s="329"/>
      <c r="AK20" s="329"/>
      <c r="AL20" s="329"/>
      <c r="AM20" s="329"/>
    </row>
    <row r="21" spans="1:39" s="332" customFormat="1" ht="18" customHeight="1">
      <c r="A21" s="244"/>
      <c r="B21" s="244"/>
      <c r="C21" s="244"/>
      <c r="D21" s="3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64"/>
      <c r="R21" s="264"/>
      <c r="S21" s="350"/>
      <c r="T21" s="163"/>
      <c r="U21" s="244"/>
      <c r="V21" s="244"/>
      <c r="W21" s="244"/>
      <c r="X21" s="244"/>
      <c r="Y21" s="244"/>
      <c r="Z21" s="244"/>
      <c r="AA21" s="244"/>
      <c r="AB21" s="242"/>
      <c r="AC21" s="242"/>
      <c r="AD21" s="242"/>
      <c r="AE21" s="242"/>
      <c r="AF21" s="242"/>
      <c r="AG21" s="242"/>
      <c r="AH21" s="242"/>
      <c r="AI21" s="242"/>
      <c r="AJ21" s="329"/>
      <c r="AK21" s="329"/>
      <c r="AL21" s="329"/>
      <c r="AM21" s="329"/>
    </row>
    <row r="22" spans="1:39" s="332" customFormat="1" ht="18" customHeight="1">
      <c r="A22" s="380"/>
      <c r="B22" s="402"/>
      <c r="C22" s="380"/>
      <c r="D22" s="387"/>
      <c r="E22" s="426"/>
      <c r="F22" s="426"/>
      <c r="G22" s="380"/>
      <c r="H22" s="380"/>
      <c r="I22" s="380"/>
      <c r="J22" s="406"/>
      <c r="K22" s="407"/>
      <c r="L22" s="407"/>
      <c r="M22" s="380"/>
      <c r="N22" s="380"/>
      <c r="O22" s="380"/>
      <c r="P22" s="380"/>
      <c r="Q22" s="15"/>
      <c r="R22" s="15"/>
      <c r="S22" s="380"/>
      <c r="T22" s="380"/>
      <c r="U22" s="380"/>
      <c r="V22" s="380"/>
      <c r="W22" s="405"/>
      <c r="X22" s="405"/>
      <c r="Y22" s="405"/>
      <c r="Z22" s="405"/>
      <c r="AA22" s="380"/>
      <c r="AB22" s="244"/>
      <c r="AC22" s="242"/>
      <c r="AD22" s="242"/>
      <c r="AE22" s="242"/>
      <c r="AF22" s="242"/>
      <c r="AG22" s="242"/>
      <c r="AH22" s="242"/>
      <c r="AI22" s="242"/>
      <c r="AJ22" s="329"/>
      <c r="AK22" s="329"/>
      <c r="AL22" s="329"/>
      <c r="AM22" s="329"/>
    </row>
    <row r="23" spans="1:39" s="332" customFormat="1" ht="18" customHeight="1">
      <c r="A23" s="380"/>
      <c r="B23" s="387"/>
      <c r="C23" s="380"/>
      <c r="D23" s="387"/>
      <c r="E23" s="426"/>
      <c r="F23" s="426"/>
      <c r="G23" s="380"/>
      <c r="H23" s="380"/>
      <c r="I23" s="380"/>
      <c r="J23" s="406"/>
      <c r="K23" s="407"/>
      <c r="L23" s="407"/>
      <c r="M23" s="380"/>
      <c r="N23" s="380"/>
      <c r="O23" s="380"/>
      <c r="P23" s="380"/>
      <c r="Q23" s="15"/>
      <c r="R23" s="15"/>
      <c r="S23" s="380"/>
      <c r="T23" s="380"/>
      <c r="U23" s="380"/>
      <c r="V23" s="380"/>
      <c r="W23" s="405"/>
      <c r="X23" s="405"/>
      <c r="Y23" s="405"/>
      <c r="Z23" s="405"/>
      <c r="AA23" s="380"/>
      <c r="AB23" s="244"/>
      <c r="AC23" s="242"/>
      <c r="AD23" s="242"/>
      <c r="AE23" s="242"/>
      <c r="AF23" s="242"/>
      <c r="AG23" s="242"/>
      <c r="AH23" s="242"/>
      <c r="AI23" s="242"/>
      <c r="AJ23" s="329"/>
      <c r="AK23" s="329"/>
      <c r="AL23" s="329"/>
      <c r="AM23" s="329"/>
    </row>
    <row r="24" spans="1:39" s="332" customFormat="1" ht="18" customHeight="1">
      <c r="A24" s="380"/>
      <c r="B24" s="244" t="s">
        <v>18</v>
      </c>
      <c r="C24" s="244"/>
      <c r="D24" s="244"/>
      <c r="E24" s="387"/>
      <c r="F24" s="244" t="s">
        <v>695</v>
      </c>
      <c r="G24" s="244"/>
      <c r="H24" s="244"/>
      <c r="I24" s="244"/>
      <c r="J24" s="244"/>
      <c r="K24" s="541">
        <f>'朝顔'!$T$79</f>
        <v>298</v>
      </c>
      <c r="L24" s="843"/>
      <c r="M24" s="353" t="s">
        <v>6</v>
      </c>
      <c r="N24" s="813">
        <f>$Q$14/1000</f>
        <v>1</v>
      </c>
      <c r="O24" s="813"/>
      <c r="P24" s="353" t="s">
        <v>19</v>
      </c>
      <c r="Q24" s="541">
        <f>$K$24*$N$24</f>
        <v>298</v>
      </c>
      <c r="R24" s="541"/>
      <c r="S24" s="244" t="s">
        <v>8</v>
      </c>
      <c r="T24" s="244"/>
      <c r="U24" s="380"/>
      <c r="V24" s="380"/>
      <c r="W24" s="405"/>
      <c r="X24" s="405"/>
      <c r="Y24" s="405"/>
      <c r="Z24" s="405"/>
      <c r="AA24" s="380"/>
      <c r="AB24" s="244"/>
      <c r="AC24" s="242"/>
      <c r="AD24" s="242"/>
      <c r="AE24" s="242"/>
      <c r="AF24" s="242"/>
      <c r="AG24" s="242"/>
      <c r="AH24" s="242"/>
      <c r="AI24" s="242"/>
      <c r="AJ24" s="329"/>
      <c r="AK24" s="329"/>
      <c r="AL24" s="329"/>
      <c r="AM24" s="329"/>
    </row>
    <row r="25" spans="1:39" s="332" customFormat="1" ht="18" customHeight="1">
      <c r="A25" s="380"/>
      <c r="B25" s="387"/>
      <c r="C25" s="380"/>
      <c r="D25" s="387"/>
      <c r="E25" s="426"/>
      <c r="F25" s="426"/>
      <c r="G25" s="380"/>
      <c r="H25" s="380"/>
      <c r="I25" s="380"/>
      <c r="J25" s="406"/>
      <c r="K25" s="407"/>
      <c r="L25" s="407"/>
      <c r="M25" s="380"/>
      <c r="N25" s="380"/>
      <c r="O25" s="380"/>
      <c r="P25" s="380"/>
      <c r="Q25" s="15"/>
      <c r="R25" s="15"/>
      <c r="S25" s="380"/>
      <c r="T25" s="380"/>
      <c r="U25" s="380"/>
      <c r="V25" s="380"/>
      <c r="W25" s="405"/>
      <c r="X25" s="405"/>
      <c r="Y25" s="405"/>
      <c r="Z25" s="405"/>
      <c r="AA25" s="380"/>
      <c r="AB25" s="244"/>
      <c r="AC25" s="242"/>
      <c r="AD25" s="242"/>
      <c r="AE25" s="242"/>
      <c r="AF25" s="242"/>
      <c r="AG25" s="242"/>
      <c r="AH25" s="242"/>
      <c r="AI25" s="242"/>
      <c r="AJ25" s="329"/>
      <c r="AK25" s="329"/>
      <c r="AL25" s="329"/>
      <c r="AM25" s="329"/>
    </row>
    <row r="26" spans="1:39" s="332" customFormat="1" ht="18" customHeight="1">
      <c r="A26" s="380"/>
      <c r="B26" s="387"/>
      <c r="C26" s="380"/>
      <c r="D26" s="387"/>
      <c r="E26" s="426"/>
      <c r="F26" s="244" t="s">
        <v>696</v>
      </c>
      <c r="G26" s="244"/>
      <c r="H26" s="244"/>
      <c r="I26" s="244"/>
      <c r="J26" s="244"/>
      <c r="K26" s="541">
        <f>'朝顔'!$T$80</f>
        <v>78</v>
      </c>
      <c r="L26" s="843"/>
      <c r="M26" s="353" t="s">
        <v>6</v>
      </c>
      <c r="N26" s="813">
        <f>$Q$14/1000</f>
        <v>1</v>
      </c>
      <c r="O26" s="813"/>
      <c r="P26" s="353" t="s">
        <v>19</v>
      </c>
      <c r="Q26" s="541">
        <f>$K$26*$N$26</f>
        <v>78</v>
      </c>
      <c r="R26" s="541"/>
      <c r="S26" s="244" t="s">
        <v>8</v>
      </c>
      <c r="T26" s="244"/>
      <c r="U26" s="380"/>
      <c r="V26" s="380"/>
      <c r="W26" s="405"/>
      <c r="X26" s="405"/>
      <c r="Y26" s="405"/>
      <c r="Z26" s="405"/>
      <c r="AA26" s="380"/>
      <c r="AB26" s="244"/>
      <c r="AC26" s="242"/>
      <c r="AD26" s="242"/>
      <c r="AE26" s="242"/>
      <c r="AF26" s="242"/>
      <c r="AG26" s="242"/>
      <c r="AH26" s="242"/>
      <c r="AI26" s="242"/>
      <c r="AJ26" s="329"/>
      <c r="AK26" s="329"/>
      <c r="AL26" s="329"/>
      <c r="AM26" s="329"/>
    </row>
    <row r="27" spans="1:39" s="332" customFormat="1" ht="18" customHeight="1">
      <c r="A27" s="380"/>
      <c r="B27" s="387"/>
      <c r="C27" s="380"/>
      <c r="D27" s="387"/>
      <c r="E27" s="426"/>
      <c r="F27" s="426"/>
      <c r="G27" s="380"/>
      <c r="H27" s="380"/>
      <c r="I27" s="380"/>
      <c r="J27" s="406"/>
      <c r="K27" s="407"/>
      <c r="L27" s="407"/>
      <c r="M27" s="380"/>
      <c r="N27" s="380"/>
      <c r="O27" s="380"/>
      <c r="P27" s="380"/>
      <c r="Q27" s="15"/>
      <c r="R27" s="15"/>
      <c r="S27" s="380"/>
      <c r="T27" s="380"/>
      <c r="U27" s="380"/>
      <c r="V27" s="380"/>
      <c r="W27" s="405"/>
      <c r="X27" s="405"/>
      <c r="Y27" s="405"/>
      <c r="Z27" s="405"/>
      <c r="AA27" s="380"/>
      <c r="AB27" s="244"/>
      <c r="AC27" s="242"/>
      <c r="AD27" s="242"/>
      <c r="AE27" s="242"/>
      <c r="AF27" s="242"/>
      <c r="AG27" s="242"/>
      <c r="AH27" s="242"/>
      <c r="AI27" s="242"/>
      <c r="AJ27" s="329"/>
      <c r="AK27" s="329"/>
      <c r="AL27" s="329"/>
      <c r="AM27" s="329"/>
    </row>
    <row r="28" spans="1:39" s="332" customFormat="1" ht="18" customHeight="1">
      <c r="A28" s="244"/>
      <c r="B28" s="244" t="s">
        <v>25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9"/>
      <c r="N28" s="29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64"/>
      <c r="AB28" s="244"/>
      <c r="AC28" s="242"/>
      <c r="AD28" s="242"/>
      <c r="AE28" s="242"/>
      <c r="AF28" s="242"/>
      <c r="AG28" s="242"/>
      <c r="AH28" s="242"/>
      <c r="AI28" s="242"/>
      <c r="AJ28" s="329"/>
      <c r="AK28" s="329"/>
      <c r="AL28" s="329"/>
      <c r="AM28" s="329"/>
    </row>
    <row r="29" spans="1:39" s="332" customFormat="1" ht="18" customHeight="1">
      <c r="A29" s="380"/>
      <c r="B29" s="387"/>
      <c r="C29" s="380"/>
      <c r="D29" s="387"/>
      <c r="E29" s="426"/>
      <c r="F29" s="426"/>
      <c r="G29" s="380"/>
      <c r="H29" s="380"/>
      <c r="I29" s="380"/>
      <c r="J29" s="406"/>
      <c r="K29" s="407"/>
      <c r="L29" s="407"/>
      <c r="M29" s="380"/>
      <c r="N29" s="380"/>
      <c r="O29" s="380"/>
      <c r="P29" s="380"/>
      <c r="Q29" s="15"/>
      <c r="R29" s="15"/>
      <c r="S29" s="380"/>
      <c r="T29" s="380"/>
      <c r="U29" s="380"/>
      <c r="V29" s="380"/>
      <c r="W29" s="405"/>
      <c r="X29" s="405"/>
      <c r="Y29" s="405"/>
      <c r="Z29" s="405"/>
      <c r="AA29" s="380"/>
      <c r="AB29" s="244"/>
      <c r="AC29" s="242"/>
      <c r="AD29" s="242"/>
      <c r="AE29" s="242"/>
      <c r="AF29" s="242"/>
      <c r="AG29" s="242"/>
      <c r="AH29" s="242"/>
      <c r="AI29" s="242"/>
      <c r="AJ29" s="329"/>
      <c r="AK29" s="329"/>
      <c r="AL29" s="329"/>
      <c r="AM29" s="329"/>
    </row>
    <row r="30" spans="1:39" s="332" customFormat="1" ht="18" customHeight="1">
      <c r="A30" s="380"/>
      <c r="B30" s="847" t="s">
        <v>26</v>
      </c>
      <c r="C30" s="847" t="s">
        <v>27</v>
      </c>
      <c r="D30" s="389" t="s">
        <v>28</v>
      </c>
      <c r="E30" s="389"/>
      <c r="F30" s="390"/>
      <c r="G30" s="390"/>
      <c r="H30" s="390"/>
      <c r="I30" s="390"/>
      <c r="J30" s="390"/>
      <c r="K30" s="390"/>
      <c r="L30" s="390"/>
      <c r="M30" s="390"/>
      <c r="N30" s="390"/>
      <c r="O30" s="380"/>
      <c r="P30" s="380"/>
      <c r="Q30" s="380"/>
      <c r="R30" s="380"/>
      <c r="S30" s="380"/>
      <c r="T30" s="380"/>
      <c r="U30" s="380"/>
      <c r="V30" s="380"/>
      <c r="W30" s="380"/>
      <c r="X30" s="385"/>
      <c r="Y30" s="380"/>
      <c r="Z30" s="264"/>
      <c r="AA30" s="244"/>
      <c r="AB30" s="242"/>
      <c r="AC30" s="242"/>
      <c r="AD30" s="242"/>
      <c r="AE30" s="242"/>
      <c r="AF30" s="242"/>
      <c r="AG30" s="242"/>
      <c r="AH30" s="242"/>
      <c r="AI30" s="242"/>
      <c r="AJ30" s="329"/>
      <c r="AK30" s="329"/>
      <c r="AL30" s="329"/>
      <c r="AM30" s="329"/>
    </row>
    <row r="31" spans="1:39" s="332" customFormat="1" ht="18" customHeight="1">
      <c r="A31" s="380"/>
      <c r="B31" s="847"/>
      <c r="C31" s="847"/>
      <c r="D31" s="391"/>
      <c r="E31" s="391"/>
      <c r="F31" s="392"/>
      <c r="G31" s="391"/>
      <c r="H31" s="392" t="s">
        <v>29</v>
      </c>
      <c r="I31" s="392"/>
      <c r="J31" s="392"/>
      <c r="K31" s="392"/>
      <c r="L31" s="392"/>
      <c r="M31" s="392"/>
      <c r="N31" s="392"/>
      <c r="O31" s="380"/>
      <c r="P31" s="380"/>
      <c r="Q31" s="380"/>
      <c r="R31" s="385"/>
      <c r="S31" s="380"/>
      <c r="T31" s="380"/>
      <c r="U31" s="380"/>
      <c r="V31" s="380"/>
      <c r="W31" s="380"/>
      <c r="X31" s="380"/>
      <c r="Y31" s="380"/>
      <c r="Z31" s="264"/>
      <c r="AA31" s="244"/>
      <c r="AB31" s="242"/>
      <c r="AC31" s="242"/>
      <c r="AD31" s="242"/>
      <c r="AE31" s="242"/>
      <c r="AF31" s="242"/>
      <c r="AG31" s="242"/>
      <c r="AH31" s="242"/>
      <c r="AI31" s="242"/>
      <c r="AJ31" s="329"/>
      <c r="AK31" s="329"/>
      <c r="AL31" s="329"/>
      <c r="AM31" s="329"/>
    </row>
    <row r="32" spans="1:39" s="332" customFormat="1" ht="18" customHeight="1">
      <c r="A32" s="380"/>
      <c r="B32" s="388"/>
      <c r="C32" s="388"/>
      <c r="D32" s="388"/>
      <c r="E32" s="388"/>
      <c r="F32" s="380"/>
      <c r="G32" s="388"/>
      <c r="H32" s="380"/>
      <c r="I32" s="380"/>
      <c r="J32" s="380"/>
      <c r="K32" s="380"/>
      <c r="L32" s="380"/>
      <c r="M32" s="383"/>
      <c r="N32" s="380"/>
      <c r="O32" s="380"/>
      <c r="P32" s="383"/>
      <c r="Q32" s="380"/>
      <c r="R32" s="385"/>
      <c r="S32" s="380"/>
      <c r="T32" s="383"/>
      <c r="U32" s="382"/>
      <c r="V32" s="382"/>
      <c r="W32" s="380"/>
      <c r="X32" s="380"/>
      <c r="Y32" s="380"/>
      <c r="Z32" s="264"/>
      <c r="AA32" s="244"/>
      <c r="AB32" s="242"/>
      <c r="AC32" s="242"/>
      <c r="AD32" s="242"/>
      <c r="AE32" s="242"/>
      <c r="AF32" s="242"/>
      <c r="AG32" s="242"/>
      <c r="AH32" s="242"/>
      <c r="AI32" s="242"/>
      <c r="AJ32" s="329"/>
      <c r="AK32" s="329"/>
      <c r="AL32" s="329"/>
      <c r="AM32" s="329"/>
    </row>
    <row r="33" spans="1:39" s="332" customFormat="1" ht="18" customHeight="1">
      <c r="A33" s="380"/>
      <c r="B33" s="388"/>
      <c r="C33" s="847" t="s">
        <v>27</v>
      </c>
      <c r="D33" s="848">
        <f>$Q$24</f>
        <v>298</v>
      </c>
      <c r="E33" s="848"/>
      <c r="F33" s="395" t="s">
        <v>30</v>
      </c>
      <c r="G33" s="849">
        <f>$E$13/1000</f>
        <v>0.9</v>
      </c>
      <c r="H33" s="849"/>
      <c r="I33" s="394" t="s">
        <v>432</v>
      </c>
      <c r="J33" s="393" t="s">
        <v>31</v>
      </c>
      <c r="K33" s="395">
        <v>2</v>
      </c>
      <c r="L33" s="395" t="s">
        <v>30</v>
      </c>
      <c r="M33" s="848">
        <f>$Q$26</f>
        <v>78</v>
      </c>
      <c r="N33" s="848"/>
      <c r="O33" s="395" t="s">
        <v>30</v>
      </c>
      <c r="P33" s="849">
        <f>$E$13/1000</f>
        <v>0.9</v>
      </c>
      <c r="Q33" s="849"/>
      <c r="R33" s="395" t="s">
        <v>30</v>
      </c>
      <c r="S33" s="849">
        <f>$E$8/1000</f>
        <v>1.1</v>
      </c>
      <c r="T33" s="849"/>
      <c r="U33" s="393" t="s">
        <v>31</v>
      </c>
      <c r="V33" s="848">
        <f>$Q$26</f>
        <v>78</v>
      </c>
      <c r="W33" s="848"/>
      <c r="X33" s="395" t="s">
        <v>30</v>
      </c>
      <c r="Y33" s="849">
        <f>$E$8/1000</f>
        <v>1.1</v>
      </c>
      <c r="Z33" s="849"/>
      <c r="AA33" s="394" t="s">
        <v>432</v>
      </c>
      <c r="AB33" s="242"/>
      <c r="AC33" s="242"/>
      <c r="AD33" s="242"/>
      <c r="AE33" s="242"/>
      <c r="AF33" s="242"/>
      <c r="AG33" s="242"/>
      <c r="AH33" s="242"/>
      <c r="AI33" s="242"/>
      <c r="AJ33" s="329"/>
      <c r="AK33" s="329"/>
      <c r="AL33" s="329"/>
      <c r="AM33" s="329"/>
    </row>
    <row r="34" spans="1:39" s="332" customFormat="1" ht="18" customHeight="1">
      <c r="A34" s="380"/>
      <c r="B34" s="388"/>
      <c r="C34" s="847"/>
      <c r="D34" s="388"/>
      <c r="E34" s="388"/>
      <c r="F34" s="380"/>
      <c r="G34" s="388"/>
      <c r="H34" s="380"/>
      <c r="I34" s="380"/>
      <c r="J34" s="380"/>
      <c r="K34" s="380"/>
      <c r="L34" s="380"/>
      <c r="M34" s="409">
        <v>2</v>
      </c>
      <c r="N34" s="383" t="s">
        <v>30</v>
      </c>
      <c r="O34" s="895">
        <f>$C$11/1000</f>
        <v>1.45</v>
      </c>
      <c r="P34" s="896"/>
      <c r="Q34" s="380"/>
      <c r="R34" s="380"/>
      <c r="S34" s="396"/>
      <c r="T34" s="396"/>
      <c r="U34" s="380"/>
      <c r="V34" s="380"/>
      <c r="W34" s="380"/>
      <c r="X34" s="264"/>
      <c r="Y34" s="244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329"/>
      <c r="AK34" s="329"/>
      <c r="AL34" s="329"/>
      <c r="AM34" s="329"/>
    </row>
    <row r="35" spans="1:39" s="332" customFormat="1" ht="18" customHeight="1">
      <c r="A35" s="380"/>
      <c r="B35" s="388"/>
      <c r="C35" s="388" t="s">
        <v>27</v>
      </c>
      <c r="D35" s="862">
        <f>($D$33*$G$33^2+$K$33*$M$33*$P$33*$S$33+$V$33*$Y$33^2)/$M$34/$O$34</f>
        <v>169</v>
      </c>
      <c r="E35" s="862"/>
      <c r="F35" s="384" t="s">
        <v>32</v>
      </c>
      <c r="G35" s="380"/>
      <c r="H35" s="380"/>
      <c r="I35" s="383"/>
      <c r="J35" s="380"/>
      <c r="K35" s="385"/>
      <c r="L35" s="380"/>
      <c r="M35" s="383"/>
      <c r="N35" s="397"/>
      <c r="O35" s="397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264"/>
      <c r="AA35" s="244"/>
      <c r="AB35" s="242"/>
      <c r="AC35" s="242"/>
      <c r="AD35" s="242"/>
      <c r="AE35" s="242"/>
      <c r="AF35" s="242"/>
      <c r="AG35" s="242"/>
      <c r="AH35" s="242"/>
      <c r="AI35" s="242"/>
      <c r="AJ35" s="329"/>
      <c r="AK35" s="329"/>
      <c r="AL35" s="329"/>
      <c r="AM35" s="329"/>
    </row>
    <row r="36" spans="1:39" s="332" customFormat="1" ht="18" customHeight="1">
      <c r="A36" s="244"/>
      <c r="B36" s="244"/>
      <c r="C36" s="344"/>
      <c r="D36" s="353"/>
      <c r="E36" s="353"/>
      <c r="F36" s="353"/>
      <c r="G36" s="353"/>
      <c r="H36" s="353"/>
      <c r="I36" s="353"/>
      <c r="J36" s="383"/>
      <c r="K36" s="244"/>
      <c r="L36" s="15"/>
      <c r="M36" s="140"/>
      <c r="N36" s="244"/>
      <c r="O36" s="300"/>
      <c r="P36" s="299"/>
      <c r="Q36" s="244"/>
      <c r="R36" s="244"/>
      <c r="S36" s="244"/>
      <c r="T36" s="383"/>
      <c r="U36" s="167"/>
      <c r="V36" s="167"/>
      <c r="W36" s="360"/>
      <c r="X36" s="244"/>
      <c r="Y36" s="244"/>
      <c r="Z36" s="244"/>
      <c r="AA36" s="244"/>
      <c r="AB36" s="264"/>
      <c r="AC36" s="244"/>
      <c r="AD36" s="242"/>
      <c r="AE36" s="242"/>
      <c r="AF36" s="242"/>
      <c r="AG36" s="242"/>
      <c r="AH36" s="242"/>
      <c r="AI36" s="242"/>
      <c r="AJ36" s="329"/>
      <c r="AK36" s="329"/>
      <c r="AL36" s="329"/>
      <c r="AM36" s="329"/>
    </row>
    <row r="37" spans="1:39" s="332" customFormat="1" ht="18" customHeight="1">
      <c r="A37" s="244"/>
      <c r="B37" s="244" t="s">
        <v>33</v>
      </c>
      <c r="C37" s="353"/>
      <c r="D37" s="353"/>
      <c r="E37" s="353"/>
      <c r="F37" s="353"/>
      <c r="G37" s="353"/>
      <c r="H37" s="353"/>
      <c r="I37" s="383"/>
      <c r="J37" s="244"/>
      <c r="K37" s="15"/>
      <c r="L37" s="140"/>
      <c r="M37" s="244"/>
      <c r="N37" s="300"/>
      <c r="O37" s="244"/>
      <c r="P37" s="299"/>
      <c r="Q37" s="244"/>
      <c r="R37" s="244"/>
      <c r="S37" s="244"/>
      <c r="T37" s="383"/>
      <c r="U37" s="167"/>
      <c r="V37" s="167"/>
      <c r="W37" s="360"/>
      <c r="X37" s="244"/>
      <c r="Y37" s="244"/>
      <c r="Z37" s="244"/>
      <c r="AA37" s="244"/>
      <c r="AB37" s="264"/>
      <c r="AC37" s="410" t="s">
        <v>237</v>
      </c>
      <c r="AD37" s="242"/>
      <c r="AE37" s="242"/>
      <c r="AF37" s="242"/>
      <c r="AG37" s="242"/>
      <c r="AH37" s="242"/>
      <c r="AI37" s="242"/>
      <c r="AJ37" s="329"/>
      <c r="AK37" s="329"/>
      <c r="AL37" s="329"/>
      <c r="AM37" s="329"/>
    </row>
    <row r="38" spans="1:39" s="332" customFormat="1" ht="18" customHeight="1">
      <c r="A38" s="380"/>
      <c r="B38" s="380"/>
      <c r="C38" s="815" t="s">
        <v>34</v>
      </c>
      <c r="D38" s="847" t="s">
        <v>35</v>
      </c>
      <c r="E38" s="862">
        <f>$D$35</f>
        <v>169</v>
      </c>
      <c r="F38" s="894"/>
      <c r="G38" s="857" t="s">
        <v>36</v>
      </c>
      <c r="H38" s="858">
        <f>$P$11</f>
        <v>1761</v>
      </c>
      <c r="I38" s="858"/>
      <c r="J38" s="857" t="s">
        <v>37</v>
      </c>
      <c r="K38" s="862">
        <f>$E$38*$H$38/$H$39</f>
        <v>298</v>
      </c>
      <c r="L38" s="862"/>
      <c r="M38" s="807" t="s">
        <v>34</v>
      </c>
      <c r="N38" s="300"/>
      <c r="O38" s="380"/>
      <c r="P38" s="381"/>
      <c r="Q38" s="380"/>
      <c r="R38" s="380"/>
      <c r="S38" s="380"/>
      <c r="T38" s="380"/>
      <c r="U38" s="380"/>
      <c r="V38" s="385"/>
      <c r="W38" s="380"/>
      <c r="X38" s="386"/>
      <c r="Y38" s="242"/>
      <c r="Z38" s="242"/>
      <c r="AA38" s="242"/>
      <c r="AB38" s="264"/>
      <c r="AC38" s="410" t="s">
        <v>238</v>
      </c>
      <c r="AD38" s="242"/>
      <c r="AE38" s="242"/>
      <c r="AF38" s="242"/>
      <c r="AG38" s="242"/>
      <c r="AH38" s="242"/>
      <c r="AI38" s="242"/>
      <c r="AJ38" s="329"/>
      <c r="AK38" s="329"/>
      <c r="AL38" s="329"/>
      <c r="AM38" s="329"/>
    </row>
    <row r="39" spans="1:39" s="332" customFormat="1" ht="18" customHeight="1">
      <c r="A39" s="380"/>
      <c r="B39" s="380"/>
      <c r="C39" s="815"/>
      <c r="D39" s="847"/>
      <c r="E39" s="887"/>
      <c r="F39" s="887"/>
      <c r="G39" s="857"/>
      <c r="H39" s="888">
        <f>$L$20</f>
        <v>1000</v>
      </c>
      <c r="I39" s="888"/>
      <c r="J39" s="857"/>
      <c r="K39" s="887"/>
      <c r="L39" s="887"/>
      <c r="M39" s="807"/>
      <c r="N39" s="370"/>
      <c r="O39" s="380"/>
      <c r="P39" s="381"/>
      <c r="Q39" s="380"/>
      <c r="R39" s="380"/>
      <c r="S39" s="380"/>
      <c r="T39" s="380"/>
      <c r="U39" s="380"/>
      <c r="V39" s="385"/>
      <c r="W39" s="380"/>
      <c r="X39" s="386"/>
      <c r="Y39" s="242"/>
      <c r="Z39" s="242"/>
      <c r="AA39" s="242"/>
      <c r="AB39" s="264"/>
      <c r="AC39" s="244"/>
      <c r="AD39" s="242"/>
      <c r="AE39" s="242"/>
      <c r="AF39" s="242"/>
      <c r="AG39" s="242"/>
      <c r="AH39" s="242"/>
      <c r="AI39" s="242"/>
      <c r="AJ39" s="329"/>
      <c r="AK39" s="329"/>
      <c r="AL39" s="329"/>
      <c r="AM39" s="329"/>
    </row>
    <row r="40" spans="1:39" s="332" customFormat="1" ht="18" customHeight="1">
      <c r="A40" s="380"/>
      <c r="B40" s="380"/>
      <c r="C40" s="381"/>
      <c r="D40" s="353"/>
      <c r="E40" s="353"/>
      <c r="F40" s="387"/>
      <c r="G40" s="387"/>
      <c r="H40" s="383"/>
      <c r="I40" s="382"/>
      <c r="J40" s="382"/>
      <c r="K40" s="383"/>
      <c r="L40" s="387"/>
      <c r="M40" s="387"/>
      <c r="N40" s="360"/>
      <c r="O40" s="370"/>
      <c r="P40" s="380"/>
      <c r="Q40" s="380"/>
      <c r="R40" s="380"/>
      <c r="S40" s="380"/>
      <c r="T40" s="380"/>
      <c r="U40" s="380"/>
      <c r="V40" s="385"/>
      <c r="W40" s="380"/>
      <c r="X40" s="386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329"/>
      <c r="AK40" s="329"/>
      <c r="AL40" s="329"/>
      <c r="AM40" s="329"/>
    </row>
    <row r="41" spans="1:39" s="332" customFormat="1" ht="18" customHeight="1">
      <c r="A41" s="380"/>
      <c r="B41" s="380" t="s">
        <v>38</v>
      </c>
      <c r="C41" s="380"/>
      <c r="D41" s="380"/>
      <c r="E41" s="380"/>
      <c r="F41" s="380"/>
      <c r="G41" s="66"/>
      <c r="H41" s="380" t="s">
        <v>39</v>
      </c>
      <c r="I41" s="66"/>
      <c r="J41" s="774" t="s">
        <v>238</v>
      </c>
      <c r="K41" s="774"/>
      <c r="L41" s="774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242"/>
      <c r="AC41" s="242"/>
      <c r="AD41" s="242"/>
      <c r="AE41" s="242"/>
      <c r="AF41" s="242"/>
      <c r="AG41" s="242"/>
      <c r="AH41" s="242"/>
      <c r="AI41" s="242"/>
      <c r="AJ41" s="329"/>
      <c r="AK41" s="329"/>
      <c r="AL41" s="329"/>
      <c r="AM41" s="329"/>
    </row>
    <row r="42" spans="1:39" s="332" customFormat="1" ht="18" customHeight="1">
      <c r="A42" s="380"/>
      <c r="B42" s="380"/>
      <c r="C42" s="353" t="s">
        <v>503</v>
      </c>
      <c r="D42" s="388" t="str">
        <f>IF($K$38&lt;=$N$42,"＜","＞")</f>
        <v>＜</v>
      </c>
      <c r="E42" s="887" t="s">
        <v>40</v>
      </c>
      <c r="F42" s="755"/>
      <c r="G42" s="755"/>
      <c r="H42" s="857">
        <v>1.3</v>
      </c>
      <c r="I42" s="857"/>
      <c r="J42" s="383" t="s">
        <v>501</v>
      </c>
      <c r="K42" s="853">
        <f>VLOOKUP($J$41,'使用材一覧'!$M$39:$T$40,4,FALSE)</f>
        <v>3430</v>
      </c>
      <c r="L42" s="882"/>
      <c r="M42" s="383" t="s">
        <v>502</v>
      </c>
      <c r="N42" s="853">
        <f>$H$42*K42</f>
        <v>4459</v>
      </c>
      <c r="O42" s="882"/>
      <c r="P42" s="380" t="s">
        <v>503</v>
      </c>
      <c r="Q42" s="866">
        <f>IF($K$38&lt;=$N$42,"","NG")</f>
      </c>
      <c r="R42" s="867"/>
      <c r="S42" s="867"/>
      <c r="T42" s="380"/>
      <c r="U42" s="380"/>
      <c r="V42" s="380"/>
      <c r="W42" s="380"/>
      <c r="X42" s="380"/>
      <c r="Y42" s="380"/>
      <c r="Z42" s="380"/>
      <c r="AA42" s="380"/>
      <c r="AB42" s="242"/>
      <c r="AC42" s="548" t="s">
        <v>107</v>
      </c>
      <c r="AD42" s="411" t="s">
        <v>41</v>
      </c>
      <c r="AE42" s="411" t="s">
        <v>42</v>
      </c>
      <c r="AF42" s="242"/>
      <c r="AG42" s="242"/>
      <c r="AH42" s="242"/>
      <c r="AI42" s="242"/>
      <c r="AJ42" s="329"/>
      <c r="AK42" s="329"/>
      <c r="AL42" s="329"/>
      <c r="AM42" s="329"/>
    </row>
    <row r="43" spans="1:39" s="332" customFormat="1" ht="18" customHeight="1">
      <c r="A43" s="380"/>
      <c r="B43" s="380"/>
      <c r="C43" s="358"/>
      <c r="D43" s="388"/>
      <c r="E43" s="401"/>
      <c r="F43" s="401"/>
      <c r="G43" s="402"/>
      <c r="H43" s="380"/>
      <c r="I43" s="380"/>
      <c r="J43" s="383"/>
      <c r="K43" s="380"/>
      <c r="L43" s="385"/>
      <c r="M43" s="380"/>
      <c r="N43" s="383"/>
      <c r="O43" s="397"/>
      <c r="P43" s="397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264"/>
      <c r="AC43" s="549"/>
      <c r="AD43" s="412" t="s">
        <v>43</v>
      </c>
      <c r="AE43" s="412" t="s">
        <v>44</v>
      </c>
      <c r="AF43" s="242"/>
      <c r="AG43" s="242"/>
      <c r="AH43" s="242"/>
      <c r="AI43" s="242"/>
      <c r="AJ43" s="329"/>
      <c r="AK43" s="329"/>
      <c r="AL43" s="329"/>
      <c r="AM43" s="329"/>
    </row>
    <row r="44" spans="1:39" s="330" customFormat="1" ht="18" customHeight="1">
      <c r="A44" s="380"/>
      <c r="B44" s="380"/>
      <c r="C44" s="358"/>
      <c r="D44" s="388"/>
      <c r="E44" s="401"/>
      <c r="F44" s="401"/>
      <c r="G44" s="402"/>
      <c r="H44" s="380"/>
      <c r="I44" s="380"/>
      <c r="J44" s="383"/>
      <c r="K44" s="380"/>
      <c r="L44" s="385"/>
      <c r="M44" s="380"/>
      <c r="N44" s="383"/>
      <c r="O44" s="397"/>
      <c r="P44" s="397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264"/>
      <c r="AC44" s="413" t="s">
        <v>46</v>
      </c>
      <c r="AD44" s="414">
        <v>355</v>
      </c>
      <c r="AE44" s="414">
        <v>96</v>
      </c>
      <c r="AF44" s="244"/>
      <c r="AG44" s="244"/>
      <c r="AH44" s="244"/>
      <c r="AI44" s="244"/>
      <c r="AJ44" s="325"/>
      <c r="AK44" s="325"/>
      <c r="AL44" s="325"/>
      <c r="AM44" s="325"/>
    </row>
    <row r="45" spans="1:39" s="330" customFormat="1" ht="18" customHeight="1">
      <c r="A45" s="380"/>
      <c r="B45" s="380"/>
      <c r="C45" s="358"/>
      <c r="D45" s="388"/>
      <c r="E45" s="401"/>
      <c r="F45" s="401"/>
      <c r="G45" s="402"/>
      <c r="H45" s="380"/>
      <c r="I45" s="380"/>
      <c r="J45" s="383"/>
      <c r="K45" s="380"/>
      <c r="L45" s="385"/>
      <c r="M45" s="380"/>
      <c r="N45" s="383"/>
      <c r="O45" s="397"/>
      <c r="P45" s="397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264"/>
      <c r="AC45" s="415" t="s">
        <v>50</v>
      </c>
      <c r="AD45" s="416">
        <v>245</v>
      </c>
      <c r="AE45" s="416">
        <v>116</v>
      </c>
      <c r="AF45" s="244"/>
      <c r="AG45" s="244"/>
      <c r="AH45" s="244"/>
      <c r="AI45" s="244"/>
      <c r="AJ45" s="325"/>
      <c r="AK45" s="325"/>
      <c r="AL45" s="325"/>
      <c r="AM45" s="325"/>
    </row>
    <row r="46" spans="1:39" s="332" customFormat="1" ht="18" customHeight="1">
      <c r="A46" s="380"/>
      <c r="B46" s="380"/>
      <c r="C46" s="358"/>
      <c r="D46" s="388"/>
      <c r="E46" s="401"/>
      <c r="F46" s="401"/>
      <c r="G46" s="402"/>
      <c r="H46" s="380"/>
      <c r="I46" s="380"/>
      <c r="J46" s="383"/>
      <c r="K46" s="380"/>
      <c r="L46" s="385"/>
      <c r="M46" s="380"/>
      <c r="N46" s="383"/>
      <c r="O46" s="397"/>
      <c r="P46" s="397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264"/>
      <c r="AC46" s="415" t="s">
        <v>52</v>
      </c>
      <c r="AD46" s="416">
        <v>245</v>
      </c>
      <c r="AE46" s="416">
        <v>116</v>
      </c>
      <c r="AF46" s="242"/>
      <c r="AG46" s="242"/>
      <c r="AH46" s="242"/>
      <c r="AI46" s="242"/>
      <c r="AJ46" s="329"/>
      <c r="AK46" s="329"/>
      <c r="AL46" s="329"/>
      <c r="AM46" s="329"/>
    </row>
    <row r="47" spans="1:39" s="332" customFormat="1" ht="18" customHeight="1">
      <c r="A47" s="380"/>
      <c r="B47" s="380"/>
      <c r="C47" s="358"/>
      <c r="D47" s="388"/>
      <c r="E47" s="401"/>
      <c r="F47" s="401"/>
      <c r="G47" s="402"/>
      <c r="H47" s="380"/>
      <c r="I47" s="380"/>
      <c r="J47" s="383"/>
      <c r="K47" s="380"/>
      <c r="L47" s="385"/>
      <c r="M47" s="380"/>
      <c r="N47" s="383"/>
      <c r="O47" s="397"/>
      <c r="P47" s="397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264"/>
      <c r="AC47" s="415" t="s">
        <v>53</v>
      </c>
      <c r="AD47" s="416">
        <v>245</v>
      </c>
      <c r="AE47" s="416">
        <v>116</v>
      </c>
      <c r="AF47" s="242"/>
      <c r="AG47" s="242"/>
      <c r="AH47" s="242"/>
      <c r="AI47" s="242"/>
      <c r="AJ47" s="329"/>
      <c r="AK47" s="329"/>
      <c r="AL47" s="329"/>
      <c r="AM47" s="329"/>
    </row>
    <row r="48" spans="1:39" s="332" customFormat="1" ht="18" customHeight="1">
      <c r="A48" s="380"/>
      <c r="B48" s="380"/>
      <c r="C48" s="358"/>
      <c r="D48" s="388"/>
      <c r="E48" s="401"/>
      <c r="F48" s="401"/>
      <c r="G48" s="402"/>
      <c r="H48" s="380"/>
      <c r="I48" s="380"/>
      <c r="J48" s="383"/>
      <c r="K48" s="380"/>
      <c r="L48" s="385"/>
      <c r="M48" s="380"/>
      <c r="N48" s="383"/>
      <c r="O48" s="397"/>
      <c r="P48" s="397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264"/>
      <c r="AC48" s="415" t="s">
        <v>55</v>
      </c>
      <c r="AD48" s="416">
        <v>325</v>
      </c>
      <c r="AE48" s="416">
        <v>101</v>
      </c>
      <c r="AF48" s="242"/>
      <c r="AG48" s="242"/>
      <c r="AH48" s="242"/>
      <c r="AI48" s="242"/>
      <c r="AJ48" s="329"/>
      <c r="AK48" s="329"/>
      <c r="AL48" s="329"/>
      <c r="AM48" s="329"/>
    </row>
    <row r="49" spans="1:39" s="332" customFormat="1" ht="18" customHeight="1">
      <c r="A49" s="380"/>
      <c r="B49" s="380" t="s">
        <v>45</v>
      </c>
      <c r="C49" s="388"/>
      <c r="D49" s="388"/>
      <c r="E49" s="388"/>
      <c r="F49" s="388"/>
      <c r="G49" s="383"/>
      <c r="H49" s="385"/>
      <c r="I49" s="380"/>
      <c r="J49" s="383"/>
      <c r="K49" s="380"/>
      <c r="L49" s="385"/>
      <c r="M49" s="380"/>
      <c r="N49" s="383"/>
      <c r="O49" s="397"/>
      <c r="P49" s="397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264"/>
      <c r="AC49" s="415" t="s">
        <v>60</v>
      </c>
      <c r="AD49" s="416">
        <v>325</v>
      </c>
      <c r="AE49" s="416">
        <v>101</v>
      </c>
      <c r="AF49" s="242"/>
      <c r="AG49" s="242"/>
      <c r="AH49" s="242"/>
      <c r="AI49" s="242"/>
      <c r="AJ49" s="329"/>
      <c r="AK49" s="329"/>
      <c r="AL49" s="329"/>
      <c r="AM49" s="329"/>
    </row>
    <row r="50" spans="1:39" s="332" customFormat="1" ht="18" customHeight="1">
      <c r="A50" s="380"/>
      <c r="B50" s="380"/>
      <c r="C50" s="847" t="s">
        <v>47</v>
      </c>
      <c r="D50" s="847" t="s">
        <v>7</v>
      </c>
      <c r="E50" s="398" t="s">
        <v>48</v>
      </c>
      <c r="F50" s="857" t="s">
        <v>7</v>
      </c>
      <c r="G50" s="858">
        <f>$P$11</f>
        <v>1761</v>
      </c>
      <c r="H50" s="858"/>
      <c r="I50" s="857" t="s">
        <v>19</v>
      </c>
      <c r="J50" s="862">
        <f>$G$50/$G$51</f>
        <v>75</v>
      </c>
      <c r="K50" s="862"/>
      <c r="L50" s="847" t="str">
        <f>IF($J$50&lt;=$N$50,"＜","＞")</f>
        <v>＜</v>
      </c>
      <c r="M50" s="856" t="s">
        <v>49</v>
      </c>
      <c r="N50" s="891">
        <f>VLOOKUP($E$3,$AC$44:$AE$50,3,FALSE)</f>
        <v>116</v>
      </c>
      <c r="O50" s="755"/>
      <c r="P50" s="383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264"/>
      <c r="AC50" s="423" t="s">
        <v>218</v>
      </c>
      <c r="AD50" s="424">
        <v>325</v>
      </c>
      <c r="AE50" s="424">
        <v>101</v>
      </c>
      <c r="AF50" s="242"/>
      <c r="AG50" s="242"/>
      <c r="AH50" s="242"/>
      <c r="AI50" s="242"/>
      <c r="AJ50" s="329"/>
      <c r="AK50" s="329"/>
      <c r="AL50" s="329"/>
      <c r="AM50" s="329"/>
    </row>
    <row r="51" spans="1:39" s="332" customFormat="1" ht="18" customHeight="1">
      <c r="A51" s="380"/>
      <c r="B51" s="380"/>
      <c r="C51" s="755"/>
      <c r="D51" s="847"/>
      <c r="E51" s="391" t="s">
        <v>51</v>
      </c>
      <c r="F51" s="857"/>
      <c r="G51" s="884">
        <f>'使用材一覧'!$P$19</f>
        <v>23.4</v>
      </c>
      <c r="H51" s="884"/>
      <c r="I51" s="857"/>
      <c r="J51" s="862"/>
      <c r="K51" s="862"/>
      <c r="L51" s="847"/>
      <c r="M51" s="856"/>
      <c r="N51" s="755"/>
      <c r="O51" s="755"/>
      <c r="P51" s="383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264"/>
      <c r="AC51" s="244"/>
      <c r="AD51" s="242"/>
      <c r="AE51" s="242"/>
      <c r="AF51" s="242"/>
      <c r="AG51" s="242"/>
      <c r="AH51" s="242"/>
      <c r="AI51" s="242"/>
      <c r="AJ51" s="329"/>
      <c r="AK51" s="329"/>
      <c r="AL51" s="329"/>
      <c r="AM51" s="329"/>
    </row>
    <row r="52" spans="1:39" s="332" customFormat="1" ht="18" customHeight="1">
      <c r="A52" s="380"/>
      <c r="B52" s="380"/>
      <c r="C52" s="388"/>
      <c r="D52" s="388"/>
      <c r="E52" s="388"/>
      <c r="F52" s="388"/>
      <c r="G52" s="383"/>
      <c r="H52" s="380"/>
      <c r="I52" s="380"/>
      <c r="J52" s="383"/>
      <c r="K52" s="380"/>
      <c r="L52" s="385"/>
      <c r="M52" s="380"/>
      <c r="N52" s="383"/>
      <c r="O52" s="397"/>
      <c r="P52" s="397"/>
      <c r="Q52" s="401"/>
      <c r="R52" s="401"/>
      <c r="S52" s="380"/>
      <c r="T52" s="380"/>
      <c r="U52" s="380"/>
      <c r="V52" s="380"/>
      <c r="W52" s="380"/>
      <c r="X52" s="380"/>
      <c r="Y52" s="380"/>
      <c r="Z52" s="380"/>
      <c r="AA52" s="380"/>
      <c r="AB52" s="264"/>
      <c r="AC52" s="244"/>
      <c r="AD52" s="242"/>
      <c r="AE52" s="242"/>
      <c r="AF52" s="242"/>
      <c r="AG52" s="242"/>
      <c r="AH52" s="242"/>
      <c r="AI52" s="242"/>
      <c r="AJ52" s="329"/>
      <c r="AK52" s="329"/>
      <c r="AL52" s="329"/>
      <c r="AM52" s="329"/>
    </row>
    <row r="53" spans="1:39" s="332" customFormat="1" ht="18" customHeight="1">
      <c r="A53" s="380"/>
      <c r="B53" s="380"/>
      <c r="C53" s="380"/>
      <c r="D53" s="417" t="s">
        <v>54</v>
      </c>
      <c r="E53" s="388"/>
      <c r="F53" s="388"/>
      <c r="G53" s="388"/>
      <c r="H53" s="383"/>
      <c r="I53" s="380"/>
      <c r="J53" s="380"/>
      <c r="K53" s="383"/>
      <c r="L53" s="380"/>
      <c r="M53" s="385"/>
      <c r="N53" s="380"/>
      <c r="O53" s="383"/>
      <c r="P53" s="397"/>
      <c r="Q53" s="397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264"/>
      <c r="AC53" s="244"/>
      <c r="AD53" s="242"/>
      <c r="AE53" s="242"/>
      <c r="AF53" s="242"/>
      <c r="AG53" s="242"/>
      <c r="AH53" s="242"/>
      <c r="AI53" s="242"/>
      <c r="AJ53" s="329"/>
      <c r="AK53" s="329"/>
      <c r="AL53" s="329"/>
      <c r="AM53" s="329"/>
    </row>
    <row r="54" spans="1:39" s="332" customFormat="1" ht="18" customHeight="1">
      <c r="A54" s="380"/>
      <c r="B54" s="380"/>
      <c r="C54" s="418"/>
      <c r="D54" s="388"/>
      <c r="E54" s="847" t="s">
        <v>56</v>
      </c>
      <c r="F54" s="847"/>
      <c r="G54" s="860" t="s">
        <v>57</v>
      </c>
      <c r="H54" s="860"/>
      <c r="I54" s="614"/>
      <c r="J54" s="614"/>
      <c r="K54" s="614"/>
      <c r="L54" s="614"/>
      <c r="M54" s="893" t="s">
        <v>58</v>
      </c>
      <c r="N54" s="645"/>
      <c r="O54" s="847" t="s">
        <v>7</v>
      </c>
      <c r="P54" s="889">
        <f>IF($J$50&lt;=$N$50,(1-0.4*($J$50/$N$50)^2)*VLOOKUP($E$3,$AC$44:$AE$50,2,FALSE),"――")</f>
        <v>204</v>
      </c>
      <c r="Q54" s="827"/>
      <c r="R54" s="890" t="s">
        <v>59</v>
      </c>
      <c r="S54" s="645"/>
      <c r="T54" s="418"/>
      <c r="U54" s="420"/>
      <c r="V54" s="380"/>
      <c r="W54" s="380"/>
      <c r="X54" s="380"/>
      <c r="Y54" s="422"/>
      <c r="Z54" s="422"/>
      <c r="AA54" s="380"/>
      <c r="AB54" s="264"/>
      <c r="AC54" s="244"/>
      <c r="AD54" s="242"/>
      <c r="AE54" s="242"/>
      <c r="AF54" s="242"/>
      <c r="AG54" s="242"/>
      <c r="AH54" s="242"/>
      <c r="AI54" s="242"/>
      <c r="AJ54" s="329"/>
      <c r="AK54" s="329"/>
      <c r="AL54" s="329"/>
      <c r="AM54" s="329"/>
    </row>
    <row r="55" spans="1:39" s="332" customFormat="1" ht="18" customHeight="1">
      <c r="A55" s="380"/>
      <c r="B55" s="380"/>
      <c r="C55" s="418"/>
      <c r="D55" s="388"/>
      <c r="E55" s="847"/>
      <c r="F55" s="847"/>
      <c r="G55" s="883" t="s">
        <v>61</v>
      </c>
      <c r="H55" s="883"/>
      <c r="I55" s="782"/>
      <c r="J55" s="782"/>
      <c r="K55" s="782"/>
      <c r="L55" s="782"/>
      <c r="M55" s="645"/>
      <c r="N55" s="645"/>
      <c r="O55" s="847"/>
      <c r="P55" s="827"/>
      <c r="Q55" s="827"/>
      <c r="R55" s="645"/>
      <c r="S55" s="645"/>
      <c r="T55" s="418"/>
      <c r="U55" s="420"/>
      <c r="V55" s="380"/>
      <c r="W55" s="380"/>
      <c r="X55" s="380"/>
      <c r="Y55" s="422"/>
      <c r="Z55" s="422"/>
      <c r="AA55" s="380"/>
      <c r="AB55" s="264"/>
      <c r="AC55" s="244"/>
      <c r="AD55" s="242"/>
      <c r="AE55" s="242"/>
      <c r="AF55" s="242"/>
      <c r="AG55" s="242"/>
      <c r="AH55" s="242"/>
      <c r="AI55" s="242"/>
      <c r="AJ55" s="329"/>
      <c r="AK55" s="329"/>
      <c r="AL55" s="329"/>
      <c r="AM55" s="329"/>
    </row>
    <row r="56" spans="1:39" s="332" customFormat="1" ht="18" customHeight="1">
      <c r="A56" s="380"/>
      <c r="B56" s="380"/>
      <c r="C56" s="400"/>
      <c r="D56" s="417" t="s">
        <v>62</v>
      </c>
      <c r="E56" s="388"/>
      <c r="F56" s="388"/>
      <c r="G56" s="388"/>
      <c r="H56" s="383"/>
      <c r="I56" s="380"/>
      <c r="J56" s="380"/>
      <c r="K56" s="383"/>
      <c r="L56" s="380"/>
      <c r="M56" s="385"/>
      <c r="N56" s="380"/>
      <c r="O56" s="383"/>
      <c r="P56" s="397"/>
      <c r="Q56" s="388"/>
      <c r="R56" s="399"/>
      <c r="S56" s="399"/>
      <c r="T56" s="400"/>
      <c r="U56" s="388"/>
      <c r="V56" s="380"/>
      <c r="W56" s="380"/>
      <c r="X56" s="383"/>
      <c r="Y56" s="403"/>
      <c r="Z56" s="403"/>
      <c r="AA56" s="380"/>
      <c r="AB56" s="264"/>
      <c r="AC56" s="244"/>
      <c r="AD56" s="242"/>
      <c r="AE56" s="242"/>
      <c r="AF56" s="242"/>
      <c r="AG56" s="242"/>
      <c r="AH56" s="242"/>
      <c r="AI56" s="242"/>
      <c r="AJ56" s="329"/>
      <c r="AK56" s="329"/>
      <c r="AL56" s="329"/>
      <c r="AM56" s="329"/>
    </row>
    <row r="57" spans="1:39" s="332" customFormat="1" ht="18" customHeight="1">
      <c r="A57" s="380"/>
      <c r="B57" s="380"/>
      <c r="C57" s="380"/>
      <c r="D57" s="388"/>
      <c r="E57" s="847" t="s">
        <v>56</v>
      </c>
      <c r="F57" s="847"/>
      <c r="G57" s="860">
        <v>0.29</v>
      </c>
      <c r="H57" s="614"/>
      <c r="I57" s="614"/>
      <c r="J57" s="893" t="s">
        <v>58</v>
      </c>
      <c r="K57" s="645"/>
      <c r="L57" s="847" t="s">
        <v>68</v>
      </c>
      <c r="M57" s="889" t="str">
        <f>IF($J$50&lt;=$N$50,"――",0.29/($J$50/$N$50)^2*VLOOKUP($E$3,$AC$44:$AE$50,2,FALSE))</f>
        <v>――</v>
      </c>
      <c r="N57" s="827"/>
      <c r="O57" s="890" t="s">
        <v>59</v>
      </c>
      <c r="P57" s="645"/>
      <c r="Q57" s="401"/>
      <c r="R57" s="401"/>
      <c r="S57" s="380"/>
      <c r="T57" s="380"/>
      <c r="U57" s="380"/>
      <c r="V57" s="380"/>
      <c r="W57" s="380"/>
      <c r="X57" s="380"/>
      <c r="Y57" s="380"/>
      <c r="Z57" s="264"/>
      <c r="AA57" s="380"/>
      <c r="AB57" s="264"/>
      <c r="AC57" s="244"/>
      <c r="AD57" s="242"/>
      <c r="AE57" s="242"/>
      <c r="AF57" s="242"/>
      <c r="AG57" s="242"/>
      <c r="AH57" s="242"/>
      <c r="AI57" s="242"/>
      <c r="AJ57" s="329"/>
      <c r="AK57" s="329"/>
      <c r="AL57" s="329"/>
      <c r="AM57" s="329"/>
    </row>
    <row r="58" spans="1:39" s="332" customFormat="1" ht="18" customHeight="1">
      <c r="A58" s="380"/>
      <c r="B58" s="380"/>
      <c r="C58" s="380"/>
      <c r="D58" s="388"/>
      <c r="E58" s="847"/>
      <c r="F58" s="847"/>
      <c r="G58" s="883" t="s">
        <v>63</v>
      </c>
      <c r="H58" s="782"/>
      <c r="I58" s="782"/>
      <c r="J58" s="645"/>
      <c r="K58" s="645"/>
      <c r="L58" s="847"/>
      <c r="M58" s="827"/>
      <c r="N58" s="827"/>
      <c r="O58" s="645"/>
      <c r="P58" s="645"/>
      <c r="Q58" s="401"/>
      <c r="R58" s="401"/>
      <c r="S58" s="380"/>
      <c r="T58" s="380"/>
      <c r="U58" s="380"/>
      <c r="V58" s="380"/>
      <c r="W58" s="380"/>
      <c r="X58" s="380"/>
      <c r="Y58" s="380"/>
      <c r="Z58" s="264"/>
      <c r="AA58" s="380"/>
      <c r="AB58" s="244"/>
      <c r="AC58" s="242"/>
      <c r="AD58" s="242"/>
      <c r="AE58" s="242"/>
      <c r="AF58" s="242"/>
      <c r="AG58" s="242"/>
      <c r="AH58" s="242"/>
      <c r="AI58" s="242"/>
      <c r="AJ58" s="329"/>
      <c r="AK58" s="329"/>
      <c r="AL58" s="329"/>
      <c r="AM58" s="329"/>
    </row>
    <row r="59" spans="1:39" s="332" customFormat="1" ht="18" customHeight="1">
      <c r="A59" s="380"/>
      <c r="B59" s="380"/>
      <c r="C59" s="388"/>
      <c r="D59" s="388"/>
      <c r="E59" s="388"/>
      <c r="F59" s="329"/>
      <c r="G59" s="388"/>
      <c r="H59" s="19"/>
      <c r="I59" s="19"/>
      <c r="J59" s="19"/>
      <c r="K59" s="19"/>
      <c r="L59" s="388"/>
      <c r="M59" s="19"/>
      <c r="N59" s="19"/>
      <c r="O59" s="19"/>
      <c r="P59" s="397"/>
      <c r="Q59" s="401"/>
      <c r="R59" s="401"/>
      <c r="S59" s="380"/>
      <c r="T59" s="380"/>
      <c r="U59" s="380"/>
      <c r="V59" s="380"/>
      <c r="W59" s="380"/>
      <c r="X59" s="380"/>
      <c r="Y59" s="380"/>
      <c r="Z59" s="380"/>
      <c r="AA59" s="380"/>
      <c r="AB59" s="244"/>
      <c r="AC59" s="242"/>
      <c r="AD59" s="242"/>
      <c r="AE59" s="242"/>
      <c r="AF59" s="242"/>
      <c r="AG59" s="242"/>
      <c r="AH59" s="242"/>
      <c r="AI59" s="242"/>
      <c r="AJ59" s="329"/>
      <c r="AK59" s="329"/>
      <c r="AL59" s="329"/>
      <c r="AM59" s="329"/>
    </row>
    <row r="60" spans="1:39" s="332" customFormat="1" ht="18" customHeight="1">
      <c r="A60" s="380"/>
      <c r="B60" s="380"/>
      <c r="C60" s="847" t="s">
        <v>64</v>
      </c>
      <c r="D60" s="847" t="s">
        <v>7</v>
      </c>
      <c r="E60" s="860" t="s">
        <v>65</v>
      </c>
      <c r="F60" s="860"/>
      <c r="G60" s="847" t="s">
        <v>7</v>
      </c>
      <c r="H60" s="858">
        <f>$K$38</f>
        <v>298</v>
      </c>
      <c r="I60" s="858"/>
      <c r="J60" s="858"/>
      <c r="K60" s="847" t="s">
        <v>7</v>
      </c>
      <c r="L60" s="889">
        <f>$H$60/$H$61</f>
        <v>0.6</v>
      </c>
      <c r="M60" s="889"/>
      <c r="N60" s="868" t="s">
        <v>20</v>
      </c>
      <c r="O60" s="868"/>
      <c r="P60" s="847" t="str">
        <f>IF($L$60&lt;=$E$63,"＜","＞")</f>
        <v>＜</v>
      </c>
      <c r="Q60" s="847" t="s">
        <v>66</v>
      </c>
      <c r="R60" s="847"/>
      <c r="S60" s="755"/>
      <c r="T60" s="856">
        <v>1.3</v>
      </c>
      <c r="U60" s="856"/>
      <c r="V60" s="857" t="s">
        <v>6</v>
      </c>
      <c r="W60" s="889">
        <f>IF($P$54&lt;&gt;"――",$P$54,$M$57)</f>
        <v>204</v>
      </c>
      <c r="X60" s="852"/>
      <c r="Y60" s="388"/>
      <c r="Z60" s="264"/>
      <c r="AA60" s="380"/>
      <c r="AB60" s="244"/>
      <c r="AC60" s="242"/>
      <c r="AD60" s="242"/>
      <c r="AE60" s="242"/>
      <c r="AF60" s="242"/>
      <c r="AG60" s="242"/>
      <c r="AH60" s="242"/>
      <c r="AI60" s="242"/>
      <c r="AJ60" s="329"/>
      <c r="AK60" s="329"/>
      <c r="AL60" s="329"/>
      <c r="AM60" s="329"/>
    </row>
    <row r="61" spans="1:39" s="332" customFormat="1" ht="18" customHeight="1">
      <c r="A61" s="380"/>
      <c r="B61" s="380"/>
      <c r="C61" s="847"/>
      <c r="D61" s="847"/>
      <c r="E61" s="886" t="s">
        <v>67</v>
      </c>
      <c r="F61" s="886"/>
      <c r="G61" s="847"/>
      <c r="H61" s="892">
        <f>VLOOKUP($E$3,'使用材一覧'!$AC$7:$AJ$13,8,FALSE)</f>
        <v>517.2</v>
      </c>
      <c r="I61" s="892"/>
      <c r="J61" s="892"/>
      <c r="K61" s="847"/>
      <c r="L61" s="889"/>
      <c r="M61" s="889"/>
      <c r="N61" s="868"/>
      <c r="O61" s="868"/>
      <c r="P61" s="847"/>
      <c r="Q61" s="847"/>
      <c r="R61" s="847"/>
      <c r="S61" s="755"/>
      <c r="T61" s="856"/>
      <c r="U61" s="856"/>
      <c r="V61" s="857"/>
      <c r="W61" s="852"/>
      <c r="X61" s="852"/>
      <c r="Y61" s="388"/>
      <c r="Z61" s="264"/>
      <c r="AA61" s="380"/>
      <c r="AB61" s="244"/>
      <c r="AC61" s="242"/>
      <c r="AD61" s="242"/>
      <c r="AE61" s="242"/>
      <c r="AF61" s="242"/>
      <c r="AG61" s="242"/>
      <c r="AH61" s="242"/>
      <c r="AI61" s="242"/>
      <c r="AJ61" s="329"/>
      <c r="AK61" s="329"/>
      <c r="AL61" s="329"/>
      <c r="AM61" s="329"/>
    </row>
    <row r="62" spans="1:39" s="332" customFormat="1" ht="18" customHeight="1">
      <c r="A62" s="380"/>
      <c r="B62" s="380"/>
      <c r="C62" s="388"/>
      <c r="D62" s="388"/>
      <c r="E62" s="388"/>
      <c r="F62" s="388"/>
      <c r="G62" s="388"/>
      <c r="H62" s="425"/>
      <c r="I62" s="425"/>
      <c r="J62" s="425"/>
      <c r="K62" s="388"/>
      <c r="L62" s="419"/>
      <c r="M62" s="419"/>
      <c r="N62" s="400"/>
      <c r="O62" s="400"/>
      <c r="P62" s="388"/>
      <c r="Q62" s="388"/>
      <c r="R62" s="388"/>
      <c r="S62" s="321"/>
      <c r="T62" s="380"/>
      <c r="U62" s="380"/>
      <c r="V62" s="383"/>
      <c r="W62" s="403"/>
      <c r="X62" s="403"/>
      <c r="Y62" s="388"/>
      <c r="Z62" s="264"/>
      <c r="AA62" s="380"/>
      <c r="AB62" s="244"/>
      <c r="AC62" s="242"/>
      <c r="AD62" s="242"/>
      <c r="AE62" s="242"/>
      <c r="AF62" s="242"/>
      <c r="AG62" s="242"/>
      <c r="AH62" s="242"/>
      <c r="AI62" s="242"/>
      <c r="AJ62" s="329"/>
      <c r="AK62" s="329"/>
      <c r="AL62" s="329"/>
      <c r="AM62" s="329"/>
    </row>
    <row r="63" spans="1:39" s="332" customFormat="1" ht="18" customHeight="1">
      <c r="A63" s="380"/>
      <c r="B63" s="387"/>
      <c r="C63" s="380"/>
      <c r="D63" s="387" t="s">
        <v>7</v>
      </c>
      <c r="E63" s="885">
        <f>$T$60*$W$60</f>
        <v>265.2</v>
      </c>
      <c r="F63" s="885"/>
      <c r="G63" s="380" t="s">
        <v>59</v>
      </c>
      <c r="H63" s="380"/>
      <c r="I63" s="380"/>
      <c r="J63" s="866">
        <f>IF($L$60&lt;=$E$63,"","NG")</f>
      </c>
      <c r="K63" s="867"/>
      <c r="L63" s="867"/>
      <c r="M63" s="380"/>
      <c r="N63" s="380"/>
      <c r="O63" s="380"/>
      <c r="P63" s="380"/>
      <c r="Q63" s="15"/>
      <c r="R63" s="15"/>
      <c r="S63" s="380"/>
      <c r="T63" s="380"/>
      <c r="U63" s="380"/>
      <c r="V63" s="380"/>
      <c r="W63" s="405"/>
      <c r="X63" s="405"/>
      <c r="Y63" s="405"/>
      <c r="Z63" s="405"/>
      <c r="AA63" s="380"/>
      <c r="AB63" s="244"/>
      <c r="AC63" s="242"/>
      <c r="AD63" s="242"/>
      <c r="AE63" s="242"/>
      <c r="AF63" s="242"/>
      <c r="AG63" s="242"/>
      <c r="AH63" s="242"/>
      <c r="AI63" s="242"/>
      <c r="AJ63" s="329"/>
      <c r="AK63" s="329"/>
      <c r="AL63" s="329"/>
      <c r="AM63" s="329"/>
    </row>
    <row r="64" spans="1:39" s="332" customFormat="1" ht="18" customHeight="1">
      <c r="A64" s="380"/>
      <c r="B64" s="387"/>
      <c r="C64" s="380"/>
      <c r="D64" s="387"/>
      <c r="E64" s="426"/>
      <c r="F64" s="426"/>
      <c r="G64" s="380"/>
      <c r="H64" s="380"/>
      <c r="I64" s="380"/>
      <c r="J64" s="406"/>
      <c r="K64" s="407"/>
      <c r="L64" s="407"/>
      <c r="M64" s="380"/>
      <c r="N64" s="380"/>
      <c r="O64" s="380"/>
      <c r="P64" s="380"/>
      <c r="Q64" s="15"/>
      <c r="R64" s="15"/>
      <c r="S64" s="380"/>
      <c r="T64" s="380"/>
      <c r="U64" s="380"/>
      <c r="V64" s="380"/>
      <c r="W64" s="405"/>
      <c r="X64" s="405"/>
      <c r="Y64" s="405"/>
      <c r="Z64" s="405"/>
      <c r="AA64" s="380"/>
      <c r="AB64" s="244"/>
      <c r="AC64" s="242"/>
      <c r="AD64" s="242"/>
      <c r="AE64" s="242"/>
      <c r="AF64" s="242"/>
      <c r="AG64" s="242"/>
      <c r="AH64" s="242"/>
      <c r="AI64" s="242"/>
      <c r="AJ64" s="329"/>
      <c r="AK64" s="329"/>
      <c r="AL64" s="329"/>
      <c r="AM64" s="329"/>
    </row>
    <row r="65" spans="1:39" s="332" customFormat="1" ht="18" customHeight="1">
      <c r="A65" s="380"/>
      <c r="B65" s="387"/>
      <c r="C65" s="380"/>
      <c r="D65" s="387"/>
      <c r="E65" s="426"/>
      <c r="F65" s="426"/>
      <c r="G65" s="380"/>
      <c r="H65" s="380"/>
      <c r="I65" s="380"/>
      <c r="J65" s="406"/>
      <c r="K65" s="407"/>
      <c r="L65" s="407"/>
      <c r="M65" s="380"/>
      <c r="N65" s="380"/>
      <c r="O65" s="380"/>
      <c r="P65" s="380"/>
      <c r="Q65" s="15"/>
      <c r="R65" s="15"/>
      <c r="S65" s="380"/>
      <c r="T65" s="380"/>
      <c r="U65" s="380"/>
      <c r="V65" s="380"/>
      <c r="W65" s="405"/>
      <c r="X65" s="405"/>
      <c r="Y65" s="405"/>
      <c r="Z65" s="405"/>
      <c r="AA65" s="380"/>
      <c r="AB65" s="244"/>
      <c r="AC65" s="242"/>
      <c r="AD65" s="242"/>
      <c r="AE65" s="242"/>
      <c r="AF65" s="242"/>
      <c r="AG65" s="242"/>
      <c r="AH65" s="242"/>
      <c r="AI65" s="242"/>
      <c r="AJ65" s="329"/>
      <c r="AK65" s="329"/>
      <c r="AL65" s="329"/>
      <c r="AM65" s="329"/>
    </row>
    <row r="66" spans="1:39" s="332" customFormat="1" ht="18" customHeight="1">
      <c r="A66" s="380"/>
      <c r="B66" s="387"/>
      <c r="C66" s="380"/>
      <c r="D66" s="387"/>
      <c r="E66" s="426"/>
      <c r="F66" s="426"/>
      <c r="G66" s="380"/>
      <c r="H66" s="380"/>
      <c r="I66" s="380"/>
      <c r="J66" s="406"/>
      <c r="K66" s="407"/>
      <c r="L66" s="407"/>
      <c r="M66" s="380"/>
      <c r="N66" s="380"/>
      <c r="O66" s="380"/>
      <c r="P66" s="380"/>
      <c r="Q66" s="15"/>
      <c r="R66" s="15"/>
      <c r="S66" s="380"/>
      <c r="T66" s="380"/>
      <c r="U66" s="380"/>
      <c r="V66" s="380"/>
      <c r="W66" s="405"/>
      <c r="X66" s="405"/>
      <c r="Y66" s="405"/>
      <c r="Z66" s="405"/>
      <c r="AA66" s="380"/>
      <c r="AB66" s="244"/>
      <c r="AC66" s="242"/>
      <c r="AD66" s="242"/>
      <c r="AE66" s="242"/>
      <c r="AF66" s="242"/>
      <c r="AG66" s="242"/>
      <c r="AH66" s="242"/>
      <c r="AI66" s="242"/>
      <c r="AJ66" s="329"/>
      <c r="AK66" s="329"/>
      <c r="AL66" s="329"/>
      <c r="AM66" s="329"/>
    </row>
    <row r="67" spans="1:39" s="332" customFormat="1" ht="18" customHeight="1">
      <c r="A67" s="380"/>
      <c r="B67" s="387"/>
      <c r="C67" s="380"/>
      <c r="D67" s="387"/>
      <c r="E67" s="426"/>
      <c r="F67" s="426"/>
      <c r="G67" s="380"/>
      <c r="H67" s="380"/>
      <c r="I67" s="380"/>
      <c r="J67" s="406"/>
      <c r="K67" s="407"/>
      <c r="L67" s="407"/>
      <c r="M67" s="380"/>
      <c r="N67" s="380"/>
      <c r="O67" s="380"/>
      <c r="P67" s="380"/>
      <c r="Q67" s="15"/>
      <c r="R67" s="15"/>
      <c r="S67" s="380"/>
      <c r="T67" s="380"/>
      <c r="U67" s="380"/>
      <c r="V67" s="380"/>
      <c r="W67" s="405"/>
      <c r="X67" s="405"/>
      <c r="Y67" s="405"/>
      <c r="Z67" s="405"/>
      <c r="AA67" s="380"/>
      <c r="AB67" s="244"/>
      <c r="AC67" s="242"/>
      <c r="AD67" s="242"/>
      <c r="AE67" s="242"/>
      <c r="AF67" s="242"/>
      <c r="AG67" s="242"/>
      <c r="AH67" s="242"/>
      <c r="AI67" s="242"/>
      <c r="AJ67" s="329"/>
      <c r="AK67" s="329"/>
      <c r="AL67" s="329"/>
      <c r="AM67" s="329"/>
    </row>
    <row r="68" spans="1:39" s="332" customFormat="1" ht="18" customHeight="1">
      <c r="A68" s="380"/>
      <c r="B68" s="387"/>
      <c r="C68" s="380"/>
      <c r="D68" s="387"/>
      <c r="E68" s="426"/>
      <c r="F68" s="426"/>
      <c r="G68" s="380"/>
      <c r="H68" s="380"/>
      <c r="I68" s="380"/>
      <c r="J68" s="406"/>
      <c r="K68" s="407"/>
      <c r="L68" s="407"/>
      <c r="M68" s="380"/>
      <c r="N68" s="380"/>
      <c r="O68" s="380"/>
      <c r="P68" s="380"/>
      <c r="Q68" s="15"/>
      <c r="R68" s="15"/>
      <c r="S68" s="380"/>
      <c r="T68" s="380"/>
      <c r="U68" s="380"/>
      <c r="V68" s="380"/>
      <c r="W68" s="405"/>
      <c r="X68" s="405"/>
      <c r="Y68" s="405"/>
      <c r="Z68" s="405"/>
      <c r="AA68" s="380"/>
      <c r="AB68" s="244"/>
      <c r="AC68" s="242"/>
      <c r="AD68" s="242"/>
      <c r="AE68" s="242"/>
      <c r="AF68" s="242"/>
      <c r="AG68" s="242"/>
      <c r="AH68" s="242"/>
      <c r="AI68" s="242"/>
      <c r="AJ68" s="329"/>
      <c r="AK68" s="329"/>
      <c r="AL68" s="329"/>
      <c r="AM68" s="329"/>
    </row>
    <row r="69" spans="1:39" s="332" customFormat="1" ht="18" customHeight="1">
      <c r="A69" s="380"/>
      <c r="B69" s="387"/>
      <c r="C69" s="380"/>
      <c r="D69" s="387"/>
      <c r="E69" s="426"/>
      <c r="F69" s="426"/>
      <c r="G69" s="380"/>
      <c r="H69" s="380"/>
      <c r="I69" s="380"/>
      <c r="J69" s="406"/>
      <c r="K69" s="407"/>
      <c r="L69" s="407"/>
      <c r="M69" s="380"/>
      <c r="N69" s="380"/>
      <c r="O69" s="380"/>
      <c r="P69" s="380"/>
      <c r="Q69" s="15"/>
      <c r="R69" s="15"/>
      <c r="S69" s="380"/>
      <c r="T69" s="380"/>
      <c r="U69" s="380"/>
      <c r="V69" s="380"/>
      <c r="W69" s="405"/>
      <c r="X69" s="405"/>
      <c r="Y69" s="405"/>
      <c r="Z69" s="405"/>
      <c r="AA69" s="380"/>
      <c r="AB69" s="244"/>
      <c r="AC69" s="242"/>
      <c r="AD69" s="242"/>
      <c r="AE69" s="242"/>
      <c r="AF69" s="242"/>
      <c r="AG69" s="242"/>
      <c r="AH69" s="242"/>
      <c r="AI69" s="242"/>
      <c r="AJ69" s="329"/>
      <c r="AK69" s="329"/>
      <c r="AL69" s="329"/>
      <c r="AM69" s="329"/>
    </row>
    <row r="70" spans="1:39" s="332" customFormat="1" ht="18" customHeight="1">
      <c r="A70" s="380"/>
      <c r="B70" s="387"/>
      <c r="C70" s="380"/>
      <c r="D70" s="387"/>
      <c r="E70" s="426"/>
      <c r="F70" s="426"/>
      <c r="G70" s="380"/>
      <c r="H70" s="380"/>
      <c r="I70" s="380"/>
      <c r="J70" s="406"/>
      <c r="K70" s="407"/>
      <c r="L70" s="407"/>
      <c r="M70" s="380"/>
      <c r="N70" s="380"/>
      <c r="O70" s="380"/>
      <c r="P70" s="380"/>
      <c r="Q70" s="15"/>
      <c r="R70" s="15"/>
      <c r="S70" s="380"/>
      <c r="T70" s="380"/>
      <c r="U70" s="380"/>
      <c r="V70" s="380"/>
      <c r="W70" s="405"/>
      <c r="X70" s="405"/>
      <c r="Y70" s="405"/>
      <c r="Z70" s="405"/>
      <c r="AA70" s="380"/>
      <c r="AB70" s="244"/>
      <c r="AC70" s="242"/>
      <c r="AD70" s="242"/>
      <c r="AE70" s="242"/>
      <c r="AF70" s="242"/>
      <c r="AG70" s="242"/>
      <c r="AH70" s="242"/>
      <c r="AI70" s="242"/>
      <c r="AJ70" s="329"/>
      <c r="AK70" s="329"/>
      <c r="AL70" s="329"/>
      <c r="AM70" s="329"/>
    </row>
    <row r="71" spans="1:39" s="332" customFormat="1" ht="18" customHeight="1">
      <c r="A71" s="380"/>
      <c r="B71" s="387"/>
      <c r="C71" s="380"/>
      <c r="D71" s="387"/>
      <c r="E71" s="426"/>
      <c r="F71" s="426"/>
      <c r="G71" s="380"/>
      <c r="H71" s="380"/>
      <c r="I71" s="380"/>
      <c r="J71" s="406"/>
      <c r="K71" s="407"/>
      <c r="L71" s="407"/>
      <c r="M71" s="380"/>
      <c r="N71" s="380"/>
      <c r="O71" s="380"/>
      <c r="P71" s="380"/>
      <c r="Q71" s="15"/>
      <c r="R71" s="15"/>
      <c r="S71" s="380"/>
      <c r="T71" s="380"/>
      <c r="U71" s="380"/>
      <c r="V71" s="380"/>
      <c r="W71" s="405"/>
      <c r="X71" s="405"/>
      <c r="Y71" s="405"/>
      <c r="Z71" s="405"/>
      <c r="AA71" s="380"/>
      <c r="AB71" s="244"/>
      <c r="AC71" s="242"/>
      <c r="AD71" s="242"/>
      <c r="AE71" s="242"/>
      <c r="AF71" s="242"/>
      <c r="AG71" s="242"/>
      <c r="AH71" s="242"/>
      <c r="AI71" s="242"/>
      <c r="AJ71" s="329"/>
      <c r="AK71" s="329"/>
      <c r="AL71" s="329"/>
      <c r="AM71" s="329"/>
    </row>
    <row r="72" spans="1:39" s="332" customFormat="1" ht="18" customHeight="1">
      <c r="A72" s="380"/>
      <c r="B72" s="387"/>
      <c r="C72" s="380"/>
      <c r="D72" s="387"/>
      <c r="E72" s="426"/>
      <c r="F72" s="426"/>
      <c r="G72" s="380"/>
      <c r="H72" s="380"/>
      <c r="I72" s="380"/>
      <c r="J72" s="406"/>
      <c r="K72" s="407"/>
      <c r="L72" s="407"/>
      <c r="M72" s="380"/>
      <c r="N72" s="380"/>
      <c r="O72" s="380"/>
      <c r="P72" s="380"/>
      <c r="Q72" s="15"/>
      <c r="R72" s="15"/>
      <c r="S72" s="380"/>
      <c r="T72" s="380"/>
      <c r="U72" s="380"/>
      <c r="V72" s="380"/>
      <c r="W72" s="405"/>
      <c r="X72" s="405"/>
      <c r="Y72" s="405"/>
      <c r="Z72" s="405"/>
      <c r="AA72" s="380"/>
      <c r="AB72" s="244"/>
      <c r="AC72" s="242"/>
      <c r="AD72" s="242"/>
      <c r="AE72" s="242"/>
      <c r="AF72" s="242"/>
      <c r="AG72" s="242"/>
      <c r="AH72" s="242"/>
      <c r="AI72" s="242"/>
      <c r="AJ72" s="329"/>
      <c r="AK72" s="329"/>
      <c r="AL72" s="329"/>
      <c r="AM72" s="329"/>
    </row>
    <row r="73" spans="1:39" s="332" customFormat="1" ht="18" customHeight="1">
      <c r="A73" s="380"/>
      <c r="B73" s="387"/>
      <c r="C73" s="380"/>
      <c r="D73" s="387"/>
      <c r="E73" s="426"/>
      <c r="F73" s="426"/>
      <c r="G73" s="380"/>
      <c r="H73" s="380"/>
      <c r="I73" s="380"/>
      <c r="J73" s="406"/>
      <c r="K73" s="407"/>
      <c r="L73" s="407"/>
      <c r="M73" s="380"/>
      <c r="N73" s="380"/>
      <c r="O73" s="380"/>
      <c r="P73" s="380"/>
      <c r="Q73" s="15"/>
      <c r="R73" s="15"/>
      <c r="S73" s="380"/>
      <c r="T73" s="380"/>
      <c r="U73" s="380"/>
      <c r="V73" s="380"/>
      <c r="W73" s="405"/>
      <c r="X73" s="405"/>
      <c r="Y73" s="405"/>
      <c r="Z73" s="405"/>
      <c r="AA73" s="380"/>
      <c r="AB73" s="244"/>
      <c r="AC73" s="242"/>
      <c r="AD73" s="242"/>
      <c r="AE73" s="242"/>
      <c r="AF73" s="242"/>
      <c r="AG73" s="242"/>
      <c r="AH73" s="242"/>
      <c r="AI73" s="242"/>
      <c r="AJ73" s="329"/>
      <c r="AK73" s="329"/>
      <c r="AL73" s="329"/>
      <c r="AM73" s="329"/>
    </row>
    <row r="74" spans="1:39" s="332" customFormat="1" ht="18" customHeight="1">
      <c r="A74" s="380"/>
      <c r="B74" s="387"/>
      <c r="C74" s="380"/>
      <c r="D74" s="387"/>
      <c r="E74" s="426"/>
      <c r="F74" s="426"/>
      <c r="G74" s="380"/>
      <c r="H74" s="380"/>
      <c r="I74" s="380"/>
      <c r="J74" s="406"/>
      <c r="K74" s="407"/>
      <c r="L74" s="407"/>
      <c r="M74" s="380"/>
      <c r="N74" s="380"/>
      <c r="O74" s="380"/>
      <c r="P74" s="380"/>
      <c r="Q74" s="15"/>
      <c r="R74" s="15"/>
      <c r="S74" s="380"/>
      <c r="T74" s="380"/>
      <c r="U74" s="380"/>
      <c r="V74" s="380"/>
      <c r="W74" s="405"/>
      <c r="X74" s="405"/>
      <c r="Y74" s="405"/>
      <c r="Z74" s="405"/>
      <c r="AA74" s="380"/>
      <c r="AB74" s="244"/>
      <c r="AC74" s="242"/>
      <c r="AD74" s="242"/>
      <c r="AE74" s="242"/>
      <c r="AF74" s="242"/>
      <c r="AG74" s="242"/>
      <c r="AH74" s="242"/>
      <c r="AI74" s="242"/>
      <c r="AJ74" s="329"/>
      <c r="AK74" s="329"/>
      <c r="AL74" s="329"/>
      <c r="AM74" s="329"/>
    </row>
    <row r="75" spans="1:39" s="332" customFormat="1" ht="18" customHeight="1">
      <c r="A75" s="380"/>
      <c r="B75" s="387"/>
      <c r="C75" s="380"/>
      <c r="D75" s="387"/>
      <c r="E75" s="426"/>
      <c r="F75" s="426"/>
      <c r="G75" s="380"/>
      <c r="H75" s="380"/>
      <c r="I75" s="380"/>
      <c r="J75" s="406"/>
      <c r="K75" s="407"/>
      <c r="L75" s="407"/>
      <c r="M75" s="380"/>
      <c r="N75" s="380"/>
      <c r="O75" s="380"/>
      <c r="P75" s="380"/>
      <c r="Q75" s="15"/>
      <c r="R75" s="15"/>
      <c r="S75" s="380"/>
      <c r="T75" s="380"/>
      <c r="U75" s="380"/>
      <c r="V75" s="380"/>
      <c r="W75" s="405"/>
      <c r="X75" s="405"/>
      <c r="Y75" s="405"/>
      <c r="Z75" s="405"/>
      <c r="AA75" s="380"/>
      <c r="AB75" s="244"/>
      <c r="AC75" s="242"/>
      <c r="AD75" s="242"/>
      <c r="AE75" s="242"/>
      <c r="AF75" s="242"/>
      <c r="AG75" s="242"/>
      <c r="AH75" s="242"/>
      <c r="AI75" s="242"/>
      <c r="AJ75" s="329"/>
      <c r="AK75" s="329"/>
      <c r="AL75" s="329"/>
      <c r="AM75" s="329"/>
    </row>
    <row r="76" spans="1:39" s="332" customFormat="1" ht="18" customHeight="1">
      <c r="A76" s="380"/>
      <c r="B76" s="387"/>
      <c r="C76" s="380"/>
      <c r="D76" s="387"/>
      <c r="E76" s="426"/>
      <c r="F76" s="426"/>
      <c r="G76" s="380"/>
      <c r="H76" s="380"/>
      <c r="I76" s="380"/>
      <c r="J76" s="406"/>
      <c r="K76" s="407"/>
      <c r="L76" s="407"/>
      <c r="M76" s="380"/>
      <c r="N76" s="380"/>
      <c r="O76" s="380"/>
      <c r="P76" s="380"/>
      <c r="Q76" s="15"/>
      <c r="R76" s="15"/>
      <c r="S76" s="380"/>
      <c r="T76" s="380"/>
      <c r="U76" s="380"/>
      <c r="V76" s="380"/>
      <c r="W76" s="405"/>
      <c r="X76" s="405"/>
      <c r="Y76" s="405"/>
      <c r="Z76" s="405"/>
      <c r="AA76" s="380"/>
      <c r="AB76" s="244"/>
      <c r="AC76" s="242"/>
      <c r="AD76" s="242"/>
      <c r="AE76" s="242"/>
      <c r="AF76" s="242"/>
      <c r="AG76" s="242"/>
      <c r="AH76" s="242"/>
      <c r="AI76" s="242"/>
      <c r="AJ76" s="329"/>
      <c r="AK76" s="329"/>
      <c r="AL76" s="329"/>
      <c r="AM76" s="329"/>
    </row>
    <row r="77" spans="1:39" s="332" customFormat="1" ht="18" customHeight="1">
      <c r="A77" s="380"/>
      <c r="B77" s="387"/>
      <c r="C77" s="380"/>
      <c r="D77" s="387"/>
      <c r="E77" s="426"/>
      <c r="F77" s="426"/>
      <c r="G77" s="380"/>
      <c r="H77" s="380"/>
      <c r="I77" s="380"/>
      <c r="J77" s="406"/>
      <c r="K77" s="407"/>
      <c r="L77" s="407"/>
      <c r="M77" s="380"/>
      <c r="N77" s="380"/>
      <c r="O77" s="380"/>
      <c r="P77" s="380"/>
      <c r="Q77" s="15"/>
      <c r="R77" s="15"/>
      <c r="S77" s="380"/>
      <c r="T77" s="380"/>
      <c r="U77" s="380"/>
      <c r="V77" s="380"/>
      <c r="W77" s="405"/>
      <c r="X77" s="405"/>
      <c r="Y77" s="405"/>
      <c r="Z77" s="405"/>
      <c r="AA77" s="380"/>
      <c r="AB77" s="244"/>
      <c r="AC77" s="242"/>
      <c r="AD77" s="242"/>
      <c r="AE77" s="242"/>
      <c r="AF77" s="242"/>
      <c r="AG77" s="242"/>
      <c r="AH77" s="242"/>
      <c r="AI77" s="242"/>
      <c r="AJ77" s="329"/>
      <c r="AK77" s="329"/>
      <c r="AL77" s="329"/>
      <c r="AM77" s="329"/>
    </row>
    <row r="78" spans="1:39" s="332" customFormat="1" ht="18" customHeight="1">
      <c r="A78" s="380"/>
      <c r="B78" s="387"/>
      <c r="C78" s="380"/>
      <c r="D78" s="387"/>
      <c r="E78" s="426"/>
      <c r="F78" s="426"/>
      <c r="G78" s="380"/>
      <c r="H78" s="380"/>
      <c r="I78" s="380"/>
      <c r="J78" s="406"/>
      <c r="K78" s="407"/>
      <c r="L78" s="407"/>
      <c r="M78" s="380"/>
      <c r="N78" s="380"/>
      <c r="O78" s="380"/>
      <c r="P78" s="380"/>
      <c r="Q78" s="15"/>
      <c r="R78" s="15"/>
      <c r="S78" s="380"/>
      <c r="T78" s="380"/>
      <c r="U78" s="380"/>
      <c r="V78" s="380"/>
      <c r="W78" s="405"/>
      <c r="X78" s="405"/>
      <c r="Y78" s="405"/>
      <c r="Z78" s="405"/>
      <c r="AA78" s="380"/>
      <c r="AB78" s="244"/>
      <c r="AC78" s="242"/>
      <c r="AD78" s="242"/>
      <c r="AE78" s="242"/>
      <c r="AF78" s="242"/>
      <c r="AG78" s="242"/>
      <c r="AH78" s="242"/>
      <c r="AI78" s="242"/>
      <c r="AJ78" s="329"/>
      <c r="AK78" s="329"/>
      <c r="AL78" s="329"/>
      <c r="AM78" s="329"/>
    </row>
    <row r="79" spans="1:39" s="332" customFormat="1" ht="18" customHeight="1">
      <c r="A79" s="380"/>
      <c r="B79" s="387"/>
      <c r="C79" s="380"/>
      <c r="D79" s="387"/>
      <c r="E79" s="426"/>
      <c r="F79" s="426"/>
      <c r="G79" s="380"/>
      <c r="H79" s="380"/>
      <c r="I79" s="380"/>
      <c r="J79" s="406"/>
      <c r="K79" s="407"/>
      <c r="L79" s="407"/>
      <c r="M79" s="380"/>
      <c r="N79" s="380"/>
      <c r="O79" s="380"/>
      <c r="P79" s="380"/>
      <c r="Q79" s="15"/>
      <c r="R79" s="15"/>
      <c r="S79" s="380"/>
      <c r="T79" s="380"/>
      <c r="U79" s="380"/>
      <c r="V79" s="380"/>
      <c r="W79" s="405"/>
      <c r="X79" s="405"/>
      <c r="Y79" s="405"/>
      <c r="Z79" s="405"/>
      <c r="AA79" s="380"/>
      <c r="AB79" s="244"/>
      <c r="AC79" s="242"/>
      <c r="AD79" s="242"/>
      <c r="AE79" s="242"/>
      <c r="AF79" s="242"/>
      <c r="AG79" s="242"/>
      <c r="AH79" s="242"/>
      <c r="AI79" s="242"/>
      <c r="AJ79" s="329"/>
      <c r="AK79" s="329"/>
      <c r="AL79" s="329"/>
      <c r="AM79" s="329"/>
    </row>
    <row r="80" spans="1:39" s="332" customFormat="1" ht="18" customHeight="1">
      <c r="A80" s="380"/>
      <c r="B80" s="387"/>
      <c r="C80" s="380"/>
      <c r="D80" s="387"/>
      <c r="E80" s="426"/>
      <c r="F80" s="426"/>
      <c r="G80" s="380"/>
      <c r="H80" s="380"/>
      <c r="I80" s="380"/>
      <c r="J80" s="406"/>
      <c r="K80" s="407"/>
      <c r="L80" s="407"/>
      <c r="M80" s="380"/>
      <c r="N80" s="380"/>
      <c r="O80" s="380"/>
      <c r="P80" s="380"/>
      <c r="Q80" s="15"/>
      <c r="R80" s="15"/>
      <c r="S80" s="380"/>
      <c r="T80" s="380"/>
      <c r="U80" s="380"/>
      <c r="V80" s="380"/>
      <c r="W80" s="405"/>
      <c r="X80" s="405"/>
      <c r="Y80" s="405"/>
      <c r="Z80" s="405"/>
      <c r="AA80" s="380"/>
      <c r="AB80" s="244"/>
      <c r="AC80" s="242"/>
      <c r="AD80" s="242"/>
      <c r="AE80" s="242"/>
      <c r="AF80" s="242"/>
      <c r="AG80" s="242"/>
      <c r="AH80" s="242"/>
      <c r="AI80" s="242"/>
      <c r="AJ80" s="329"/>
      <c r="AK80" s="329"/>
      <c r="AL80" s="329"/>
      <c r="AM80" s="329"/>
    </row>
    <row r="81" spans="1:39" s="332" customFormat="1" ht="18" customHeight="1">
      <c r="A81" s="380"/>
      <c r="B81" s="387"/>
      <c r="C81" s="380"/>
      <c r="D81" s="387"/>
      <c r="E81" s="426"/>
      <c r="F81" s="426"/>
      <c r="G81" s="380"/>
      <c r="H81" s="380"/>
      <c r="I81" s="380"/>
      <c r="J81" s="406"/>
      <c r="K81" s="407"/>
      <c r="L81" s="407"/>
      <c r="M81" s="380"/>
      <c r="N81" s="380"/>
      <c r="O81" s="380"/>
      <c r="P81" s="380"/>
      <c r="Q81" s="15"/>
      <c r="R81" s="15"/>
      <c r="S81" s="380"/>
      <c r="T81" s="380"/>
      <c r="U81" s="380"/>
      <c r="V81" s="380"/>
      <c r="W81" s="405"/>
      <c r="X81" s="405"/>
      <c r="Y81" s="405"/>
      <c r="Z81" s="405"/>
      <c r="AA81" s="380"/>
      <c r="AB81" s="244"/>
      <c r="AC81" s="242"/>
      <c r="AD81" s="242"/>
      <c r="AE81" s="242"/>
      <c r="AF81" s="242"/>
      <c r="AG81" s="242"/>
      <c r="AH81" s="242"/>
      <c r="AI81" s="242"/>
      <c r="AJ81" s="329"/>
      <c r="AK81" s="329"/>
      <c r="AL81" s="329"/>
      <c r="AM81" s="329"/>
    </row>
    <row r="82" spans="1:39" s="332" customFormat="1" ht="18" customHeight="1">
      <c r="A82" s="380"/>
      <c r="B82" s="387"/>
      <c r="C82" s="380"/>
      <c r="D82" s="387"/>
      <c r="E82" s="426"/>
      <c r="F82" s="426"/>
      <c r="G82" s="380"/>
      <c r="H82" s="380"/>
      <c r="I82" s="380"/>
      <c r="J82" s="406"/>
      <c r="K82" s="407"/>
      <c r="L82" s="407"/>
      <c r="M82" s="380"/>
      <c r="N82" s="380"/>
      <c r="O82" s="380"/>
      <c r="P82" s="380"/>
      <c r="Q82" s="15"/>
      <c r="R82" s="15"/>
      <c r="S82" s="380"/>
      <c r="T82" s="380"/>
      <c r="U82" s="380"/>
      <c r="V82" s="380"/>
      <c r="W82" s="405"/>
      <c r="X82" s="405"/>
      <c r="Y82" s="405"/>
      <c r="Z82" s="405"/>
      <c r="AA82" s="380"/>
      <c r="AB82" s="244"/>
      <c r="AC82" s="242"/>
      <c r="AD82" s="242"/>
      <c r="AE82" s="242"/>
      <c r="AF82" s="242"/>
      <c r="AG82" s="242"/>
      <c r="AH82" s="242"/>
      <c r="AI82" s="242"/>
      <c r="AJ82" s="329"/>
      <c r="AK82" s="329"/>
      <c r="AL82" s="329"/>
      <c r="AM82" s="329"/>
    </row>
    <row r="83" spans="1:39" s="332" customFormat="1" ht="18" customHeight="1">
      <c r="A83" s="380"/>
      <c r="B83" s="387"/>
      <c r="C83" s="380"/>
      <c r="D83" s="387"/>
      <c r="E83" s="426"/>
      <c r="F83" s="426"/>
      <c r="G83" s="380"/>
      <c r="H83" s="380"/>
      <c r="I83" s="380"/>
      <c r="J83" s="406"/>
      <c r="K83" s="407"/>
      <c r="L83" s="407"/>
      <c r="M83" s="380"/>
      <c r="N83" s="380"/>
      <c r="O83" s="380"/>
      <c r="P83" s="380"/>
      <c r="Q83" s="15"/>
      <c r="R83" s="15"/>
      <c r="S83" s="380"/>
      <c r="T83" s="380"/>
      <c r="U83" s="380"/>
      <c r="V83" s="380"/>
      <c r="W83" s="405"/>
      <c r="X83" s="405"/>
      <c r="Y83" s="405"/>
      <c r="Z83" s="405"/>
      <c r="AA83" s="380"/>
      <c r="AB83" s="244"/>
      <c r="AC83" s="242"/>
      <c r="AD83" s="242"/>
      <c r="AE83" s="242"/>
      <c r="AF83" s="242"/>
      <c r="AG83" s="242"/>
      <c r="AH83" s="242"/>
      <c r="AI83" s="242"/>
      <c r="AJ83" s="329"/>
      <c r="AK83" s="329"/>
      <c r="AL83" s="329"/>
      <c r="AM83" s="329"/>
    </row>
    <row r="84" spans="1:39" s="332" customFormat="1" ht="18" customHeight="1">
      <c r="A84" s="380"/>
      <c r="B84" s="387"/>
      <c r="C84" s="380"/>
      <c r="D84" s="387"/>
      <c r="E84" s="426"/>
      <c r="F84" s="426"/>
      <c r="G84" s="380"/>
      <c r="H84" s="380"/>
      <c r="I84" s="380"/>
      <c r="J84" s="406"/>
      <c r="K84" s="407"/>
      <c r="L84" s="407"/>
      <c r="M84" s="380"/>
      <c r="N84" s="380"/>
      <c r="O84" s="380"/>
      <c r="P84" s="380"/>
      <c r="Q84" s="15"/>
      <c r="R84" s="15"/>
      <c r="S84" s="380"/>
      <c r="T84" s="380"/>
      <c r="U84" s="380"/>
      <c r="V84" s="380"/>
      <c r="W84" s="405"/>
      <c r="X84" s="405"/>
      <c r="Y84" s="405"/>
      <c r="Z84" s="405"/>
      <c r="AA84" s="380"/>
      <c r="AB84" s="244"/>
      <c r="AC84" s="242"/>
      <c r="AD84" s="242"/>
      <c r="AE84" s="242"/>
      <c r="AF84" s="242"/>
      <c r="AG84" s="242"/>
      <c r="AH84" s="242"/>
      <c r="AI84" s="242"/>
      <c r="AJ84" s="329"/>
      <c r="AK84" s="329"/>
      <c r="AL84" s="329"/>
      <c r="AM84" s="329"/>
    </row>
    <row r="85" spans="1:39" s="332" customFormat="1" ht="18" customHeight="1">
      <c r="A85" s="380"/>
      <c r="B85" s="387"/>
      <c r="C85" s="380"/>
      <c r="D85" s="387"/>
      <c r="E85" s="426"/>
      <c r="F85" s="426"/>
      <c r="G85" s="380"/>
      <c r="H85" s="380"/>
      <c r="I85" s="380"/>
      <c r="J85" s="406"/>
      <c r="K85" s="407"/>
      <c r="L85" s="407"/>
      <c r="M85" s="380"/>
      <c r="N85" s="380"/>
      <c r="O85" s="380"/>
      <c r="P85" s="380"/>
      <c r="Q85" s="15"/>
      <c r="R85" s="15"/>
      <c r="S85" s="380"/>
      <c r="T85" s="380"/>
      <c r="U85" s="380"/>
      <c r="V85" s="380"/>
      <c r="W85" s="405"/>
      <c r="X85" s="405"/>
      <c r="Y85" s="405"/>
      <c r="Z85" s="405"/>
      <c r="AA85" s="380"/>
      <c r="AB85" s="244"/>
      <c r="AC85" s="242"/>
      <c r="AD85" s="242"/>
      <c r="AE85" s="242"/>
      <c r="AF85" s="242"/>
      <c r="AG85" s="242"/>
      <c r="AH85" s="242"/>
      <c r="AI85" s="242"/>
      <c r="AJ85" s="329"/>
      <c r="AK85" s="329"/>
      <c r="AL85" s="329"/>
      <c r="AM85" s="329"/>
    </row>
    <row r="86" spans="1:39" s="332" customFormat="1" ht="18" customHeight="1">
      <c r="A86" s="380"/>
      <c r="B86" s="387"/>
      <c r="C86" s="380"/>
      <c r="D86" s="387"/>
      <c r="E86" s="426"/>
      <c r="F86" s="426"/>
      <c r="G86" s="380"/>
      <c r="H86" s="380"/>
      <c r="I86" s="380"/>
      <c r="J86" s="406"/>
      <c r="K86" s="407"/>
      <c r="L86" s="407"/>
      <c r="M86" s="380"/>
      <c r="N86" s="380"/>
      <c r="O86" s="380"/>
      <c r="P86" s="380"/>
      <c r="Q86" s="15"/>
      <c r="R86" s="15"/>
      <c r="S86" s="380"/>
      <c r="T86" s="380"/>
      <c r="U86" s="380"/>
      <c r="V86" s="380"/>
      <c r="W86" s="405"/>
      <c r="X86" s="405"/>
      <c r="Y86" s="405"/>
      <c r="Z86" s="405"/>
      <c r="AA86" s="380"/>
      <c r="AB86" s="244"/>
      <c r="AC86" s="242"/>
      <c r="AD86" s="242"/>
      <c r="AE86" s="242"/>
      <c r="AF86" s="242"/>
      <c r="AG86" s="242"/>
      <c r="AH86" s="242"/>
      <c r="AI86" s="242"/>
      <c r="AJ86" s="329"/>
      <c r="AK86" s="329"/>
      <c r="AL86" s="329"/>
      <c r="AM86" s="329"/>
    </row>
    <row r="87" spans="1:39" s="332" customFormat="1" ht="18" customHeight="1">
      <c r="A87" s="380"/>
      <c r="B87" s="387"/>
      <c r="C87" s="380"/>
      <c r="D87" s="387"/>
      <c r="E87" s="426"/>
      <c r="F87" s="426"/>
      <c r="G87" s="380"/>
      <c r="H87" s="380"/>
      <c r="I87" s="380"/>
      <c r="J87" s="406"/>
      <c r="K87" s="407"/>
      <c r="L87" s="407"/>
      <c r="M87" s="380"/>
      <c r="N87" s="380"/>
      <c r="O87" s="380"/>
      <c r="P87" s="380"/>
      <c r="Q87" s="15"/>
      <c r="R87" s="15"/>
      <c r="S87" s="380"/>
      <c r="T87" s="380"/>
      <c r="U87" s="380"/>
      <c r="V87" s="380"/>
      <c r="W87" s="405"/>
      <c r="X87" s="405"/>
      <c r="Y87" s="405"/>
      <c r="Z87" s="405"/>
      <c r="AA87" s="380"/>
      <c r="AB87" s="244"/>
      <c r="AC87" s="242"/>
      <c r="AD87" s="242"/>
      <c r="AE87" s="242"/>
      <c r="AF87" s="242"/>
      <c r="AG87" s="242"/>
      <c r="AH87" s="242"/>
      <c r="AI87" s="242"/>
      <c r="AJ87" s="329"/>
      <c r="AK87" s="329"/>
      <c r="AL87" s="329"/>
      <c r="AM87" s="329"/>
    </row>
    <row r="88" spans="1:39" s="332" customFormat="1" ht="18" customHeight="1">
      <c r="A88" s="380"/>
      <c r="B88" s="387"/>
      <c r="C88" s="380"/>
      <c r="D88" s="387"/>
      <c r="E88" s="426"/>
      <c r="F88" s="426"/>
      <c r="G88" s="380"/>
      <c r="H88" s="380"/>
      <c r="I88" s="380"/>
      <c r="J88" s="406"/>
      <c r="K88" s="407"/>
      <c r="L88" s="407"/>
      <c r="M88" s="380"/>
      <c r="N88" s="380"/>
      <c r="O88" s="380"/>
      <c r="P88" s="380"/>
      <c r="Q88" s="15"/>
      <c r="R88" s="15"/>
      <c r="S88" s="380"/>
      <c r="T88" s="380"/>
      <c r="U88" s="380"/>
      <c r="V88" s="380"/>
      <c r="W88" s="405"/>
      <c r="X88" s="405"/>
      <c r="Y88" s="405"/>
      <c r="Z88" s="405"/>
      <c r="AA88" s="380"/>
      <c r="AB88" s="244"/>
      <c r="AC88" s="242"/>
      <c r="AD88" s="242"/>
      <c r="AE88" s="242"/>
      <c r="AF88" s="242"/>
      <c r="AG88" s="242"/>
      <c r="AH88" s="242"/>
      <c r="AI88" s="242"/>
      <c r="AJ88" s="329"/>
      <c r="AK88" s="329"/>
      <c r="AL88" s="329"/>
      <c r="AM88" s="329"/>
    </row>
    <row r="89" spans="1:39" s="332" customFormat="1" ht="18" customHeight="1">
      <c r="A89" s="380"/>
      <c r="B89" s="387"/>
      <c r="C89" s="380"/>
      <c r="D89" s="387"/>
      <c r="E89" s="426"/>
      <c r="F89" s="426"/>
      <c r="G89" s="380"/>
      <c r="H89" s="380"/>
      <c r="I89" s="380"/>
      <c r="J89" s="406"/>
      <c r="K89" s="407"/>
      <c r="L89" s="407"/>
      <c r="M89" s="380"/>
      <c r="N89" s="380"/>
      <c r="O89" s="380"/>
      <c r="P89" s="380"/>
      <c r="Q89" s="15"/>
      <c r="R89" s="15"/>
      <c r="S89" s="380"/>
      <c r="T89" s="380"/>
      <c r="U89" s="380"/>
      <c r="V89" s="380"/>
      <c r="W89" s="405"/>
      <c r="X89" s="405"/>
      <c r="Y89" s="405"/>
      <c r="Z89" s="405"/>
      <c r="AA89" s="380"/>
      <c r="AB89" s="244"/>
      <c r="AC89" s="242"/>
      <c r="AD89" s="242"/>
      <c r="AE89" s="242"/>
      <c r="AF89" s="242"/>
      <c r="AG89" s="242"/>
      <c r="AH89" s="242"/>
      <c r="AI89" s="242"/>
      <c r="AJ89" s="329"/>
      <c r="AK89" s="329"/>
      <c r="AL89" s="329"/>
      <c r="AM89" s="329"/>
    </row>
    <row r="90" spans="1:39" s="332" customFormat="1" ht="18" customHeight="1">
      <c r="A90" s="380"/>
      <c r="B90" s="387"/>
      <c r="C90" s="380"/>
      <c r="D90" s="387"/>
      <c r="E90" s="426"/>
      <c r="F90" s="426"/>
      <c r="G90" s="380"/>
      <c r="H90" s="380"/>
      <c r="I90" s="380"/>
      <c r="J90" s="406"/>
      <c r="K90" s="407"/>
      <c r="L90" s="407"/>
      <c r="M90" s="380"/>
      <c r="N90" s="380"/>
      <c r="O90" s="380"/>
      <c r="P90" s="380"/>
      <c r="Q90" s="15"/>
      <c r="R90" s="15"/>
      <c r="S90" s="380"/>
      <c r="T90" s="380"/>
      <c r="U90" s="380"/>
      <c r="V90" s="380"/>
      <c r="W90" s="405"/>
      <c r="X90" s="405"/>
      <c r="Y90" s="405"/>
      <c r="Z90" s="405"/>
      <c r="AA90" s="380"/>
      <c r="AB90" s="244"/>
      <c r="AC90" s="242"/>
      <c r="AD90" s="242"/>
      <c r="AE90" s="242"/>
      <c r="AF90" s="242"/>
      <c r="AG90" s="242"/>
      <c r="AH90" s="242"/>
      <c r="AI90" s="242"/>
      <c r="AJ90" s="329"/>
      <c r="AK90" s="329"/>
      <c r="AL90" s="329"/>
      <c r="AM90" s="329"/>
    </row>
    <row r="91" spans="1:39" s="332" customFormat="1" ht="18" customHeight="1">
      <c r="A91" s="380"/>
      <c r="B91" s="387"/>
      <c r="C91" s="380"/>
      <c r="D91" s="387"/>
      <c r="E91" s="426"/>
      <c r="F91" s="426"/>
      <c r="G91" s="380"/>
      <c r="H91" s="380"/>
      <c r="I91" s="380"/>
      <c r="J91" s="406"/>
      <c r="K91" s="407"/>
      <c r="L91" s="407"/>
      <c r="M91" s="380"/>
      <c r="N91" s="380"/>
      <c r="O91" s="380"/>
      <c r="P91" s="380"/>
      <c r="Q91" s="15"/>
      <c r="R91" s="15"/>
      <c r="S91" s="380"/>
      <c r="T91" s="380"/>
      <c r="U91" s="380"/>
      <c r="V91" s="380"/>
      <c r="W91" s="405"/>
      <c r="X91" s="405"/>
      <c r="Y91" s="405"/>
      <c r="Z91" s="405"/>
      <c r="AA91" s="380"/>
      <c r="AB91" s="244"/>
      <c r="AC91" s="242"/>
      <c r="AD91" s="242"/>
      <c r="AE91" s="242"/>
      <c r="AF91" s="242"/>
      <c r="AG91" s="242"/>
      <c r="AH91" s="242"/>
      <c r="AI91" s="242"/>
      <c r="AJ91" s="329"/>
      <c r="AK91" s="329"/>
      <c r="AL91" s="329"/>
      <c r="AM91" s="329"/>
    </row>
    <row r="92" spans="1:39" s="332" customFormat="1" ht="18" customHeight="1">
      <c r="A92" s="380"/>
      <c r="B92" s="387"/>
      <c r="C92" s="380"/>
      <c r="D92" s="387"/>
      <c r="E92" s="426"/>
      <c r="F92" s="426"/>
      <c r="G92" s="380"/>
      <c r="H92" s="380"/>
      <c r="I92" s="380"/>
      <c r="J92" s="406"/>
      <c r="K92" s="407"/>
      <c r="L92" s="407"/>
      <c r="M92" s="380"/>
      <c r="N92" s="380"/>
      <c r="O92" s="380"/>
      <c r="P92" s="380"/>
      <c r="Q92" s="15"/>
      <c r="R92" s="15"/>
      <c r="S92" s="380"/>
      <c r="T92" s="380"/>
      <c r="U92" s="380"/>
      <c r="V92" s="380"/>
      <c r="W92" s="405"/>
      <c r="X92" s="405"/>
      <c r="Y92" s="405"/>
      <c r="Z92" s="405"/>
      <c r="AA92" s="380"/>
      <c r="AB92" s="244"/>
      <c r="AC92" s="242"/>
      <c r="AD92" s="242"/>
      <c r="AE92" s="242"/>
      <c r="AF92" s="242"/>
      <c r="AG92" s="242"/>
      <c r="AH92" s="242"/>
      <c r="AI92" s="242"/>
      <c r="AJ92" s="329"/>
      <c r="AK92" s="329"/>
      <c r="AL92" s="329"/>
      <c r="AM92" s="329"/>
    </row>
    <row r="93" spans="1:39" s="332" customFormat="1" ht="18" customHeight="1">
      <c r="A93" s="380"/>
      <c r="B93" s="387"/>
      <c r="C93" s="380"/>
      <c r="D93" s="387"/>
      <c r="E93" s="426"/>
      <c r="F93" s="426"/>
      <c r="G93" s="380"/>
      <c r="H93" s="380"/>
      <c r="I93" s="380"/>
      <c r="J93" s="406"/>
      <c r="K93" s="407"/>
      <c r="L93" s="407"/>
      <c r="M93" s="380"/>
      <c r="N93" s="380"/>
      <c r="O93" s="380"/>
      <c r="P93" s="380"/>
      <c r="Q93" s="15"/>
      <c r="R93" s="15"/>
      <c r="S93" s="380"/>
      <c r="T93" s="380"/>
      <c r="U93" s="380"/>
      <c r="V93" s="380"/>
      <c r="W93" s="405"/>
      <c r="X93" s="405"/>
      <c r="Y93" s="405"/>
      <c r="Z93" s="405"/>
      <c r="AA93" s="380"/>
      <c r="AB93" s="244"/>
      <c r="AC93" s="242"/>
      <c r="AD93" s="242"/>
      <c r="AE93" s="242"/>
      <c r="AF93" s="242"/>
      <c r="AG93" s="242"/>
      <c r="AH93" s="242"/>
      <c r="AI93" s="242"/>
      <c r="AJ93" s="329"/>
      <c r="AK93" s="329"/>
      <c r="AL93" s="329"/>
      <c r="AM93" s="329"/>
    </row>
    <row r="94" spans="1:39" s="332" customFormat="1" ht="18" customHeight="1">
      <c r="A94" s="380"/>
      <c r="B94" s="387"/>
      <c r="C94" s="380"/>
      <c r="D94" s="387"/>
      <c r="E94" s="426"/>
      <c r="F94" s="426"/>
      <c r="G94" s="380"/>
      <c r="H94" s="380"/>
      <c r="I94" s="380"/>
      <c r="J94" s="406"/>
      <c r="K94" s="407"/>
      <c r="L94" s="407"/>
      <c r="M94" s="380"/>
      <c r="N94" s="380"/>
      <c r="O94" s="380"/>
      <c r="P94" s="380"/>
      <c r="Q94" s="15"/>
      <c r="R94" s="15"/>
      <c r="S94" s="380"/>
      <c r="T94" s="380"/>
      <c r="U94" s="380"/>
      <c r="V94" s="380"/>
      <c r="W94" s="405"/>
      <c r="X94" s="405"/>
      <c r="Y94" s="405"/>
      <c r="Z94" s="405"/>
      <c r="AA94" s="380"/>
      <c r="AB94" s="244"/>
      <c r="AC94" s="242"/>
      <c r="AD94" s="242"/>
      <c r="AE94" s="242"/>
      <c r="AF94" s="242"/>
      <c r="AG94" s="242"/>
      <c r="AH94" s="242"/>
      <c r="AI94" s="242"/>
      <c r="AJ94" s="329"/>
      <c r="AK94" s="329"/>
      <c r="AL94" s="329"/>
      <c r="AM94" s="329"/>
    </row>
    <row r="95" spans="1:39" s="332" customFormat="1" ht="18" customHeight="1">
      <c r="A95" s="380"/>
      <c r="B95" s="387"/>
      <c r="C95" s="380"/>
      <c r="D95" s="387"/>
      <c r="E95" s="426"/>
      <c r="F95" s="426"/>
      <c r="G95" s="380"/>
      <c r="H95" s="380"/>
      <c r="I95" s="380"/>
      <c r="J95" s="406"/>
      <c r="K95" s="407"/>
      <c r="L95" s="407"/>
      <c r="M95" s="380"/>
      <c r="N95" s="380"/>
      <c r="O95" s="380"/>
      <c r="P95" s="380"/>
      <c r="Q95" s="15"/>
      <c r="R95" s="15"/>
      <c r="S95" s="380"/>
      <c r="T95" s="380"/>
      <c r="U95" s="380"/>
      <c r="V95" s="380"/>
      <c r="W95" s="405"/>
      <c r="X95" s="405"/>
      <c r="Y95" s="405"/>
      <c r="Z95" s="405"/>
      <c r="AA95" s="380"/>
      <c r="AB95" s="244"/>
      <c r="AC95" s="242"/>
      <c r="AD95" s="242"/>
      <c r="AE95" s="242"/>
      <c r="AF95" s="242"/>
      <c r="AG95" s="242"/>
      <c r="AH95" s="242"/>
      <c r="AI95" s="242"/>
      <c r="AJ95" s="329"/>
      <c r="AK95" s="329"/>
      <c r="AL95" s="329"/>
      <c r="AM95" s="329"/>
    </row>
    <row r="96" spans="1:34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9"/>
      <c r="AC96" s="39"/>
      <c r="AD96" s="39"/>
      <c r="AE96" s="39"/>
      <c r="AF96" s="39"/>
      <c r="AG96" s="39"/>
      <c r="AH96" s="39"/>
    </row>
    <row r="97" spans="1:34" ht="13.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9"/>
      <c r="AC97" s="39"/>
      <c r="AD97" s="39"/>
      <c r="AE97" s="39"/>
      <c r="AF97" s="39"/>
      <c r="AG97" s="39"/>
      <c r="AH97" s="39"/>
    </row>
    <row r="98" spans="1:34" ht="13.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9"/>
      <c r="AC98" s="39"/>
      <c r="AD98" s="39"/>
      <c r="AE98" s="39"/>
      <c r="AF98" s="39"/>
      <c r="AG98" s="39"/>
      <c r="AH98" s="39"/>
    </row>
    <row r="99" spans="1:34" ht="13.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</row>
    <row r="100" spans="1:34" ht="13.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</row>
    <row r="101" spans="1:34" ht="13.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</row>
    <row r="102" spans="1:34" ht="13.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</row>
    <row r="103" spans="1:34" ht="13.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</row>
    <row r="104" spans="1:34" ht="13.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</row>
    <row r="105" spans="1:34" ht="13.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</row>
    <row r="106" spans="1:34" ht="13.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</row>
    <row r="107" spans="1:34" ht="13.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</row>
    <row r="108" spans="1:34" ht="13.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</row>
    <row r="109" spans="1:34" ht="13.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</row>
  </sheetData>
  <sheetProtection sheet="1" objects="1" scenarios="1"/>
  <mergeCells count="88">
    <mergeCell ref="Y33:Z33"/>
    <mergeCell ref="D35:E35"/>
    <mergeCell ref="O34:P34"/>
    <mergeCell ref="M33:N33"/>
    <mergeCell ref="P33:Q33"/>
    <mergeCell ref="S33:T33"/>
    <mergeCell ref="V33:W33"/>
    <mergeCell ref="G33:H33"/>
    <mergeCell ref="G50:H50"/>
    <mergeCell ref="C38:C39"/>
    <mergeCell ref="C50:C51"/>
    <mergeCell ref="D50:D51"/>
    <mergeCell ref="D38:D39"/>
    <mergeCell ref="E38:F39"/>
    <mergeCell ref="G38:G39"/>
    <mergeCell ref="J50:K51"/>
    <mergeCell ref="M54:N55"/>
    <mergeCell ref="M57:N58"/>
    <mergeCell ref="O57:P58"/>
    <mergeCell ref="M50:M51"/>
    <mergeCell ref="W60:X61"/>
    <mergeCell ref="G57:I57"/>
    <mergeCell ref="H61:J61"/>
    <mergeCell ref="T60:U61"/>
    <mergeCell ref="V60:V61"/>
    <mergeCell ref="H60:J60"/>
    <mergeCell ref="K60:K61"/>
    <mergeCell ref="Q60:S61"/>
    <mergeCell ref="J57:K58"/>
    <mergeCell ref="N60:O61"/>
    <mergeCell ref="L60:M61"/>
    <mergeCell ref="P60:P61"/>
    <mergeCell ref="Q42:S42"/>
    <mergeCell ref="R54:S55"/>
    <mergeCell ref="P54:Q55"/>
    <mergeCell ref="L50:L51"/>
    <mergeCell ref="N50:O51"/>
    <mergeCell ref="K38:L39"/>
    <mergeCell ref="H39:I39"/>
    <mergeCell ref="H38:I38"/>
    <mergeCell ref="J38:J39"/>
    <mergeCell ref="AC42:AC43"/>
    <mergeCell ref="E63:F63"/>
    <mergeCell ref="J63:L63"/>
    <mergeCell ref="E60:F60"/>
    <mergeCell ref="G60:G61"/>
    <mergeCell ref="E61:F61"/>
    <mergeCell ref="E42:G42"/>
    <mergeCell ref="K42:L42"/>
    <mergeCell ref="G58:I58"/>
    <mergeCell ref="L57:L58"/>
    <mergeCell ref="M38:M39"/>
    <mergeCell ref="N42:O42"/>
    <mergeCell ref="H42:I42"/>
    <mergeCell ref="E54:F55"/>
    <mergeCell ref="G54:L54"/>
    <mergeCell ref="G55:L55"/>
    <mergeCell ref="O54:O55"/>
    <mergeCell ref="G51:H51"/>
    <mergeCell ref="I50:I51"/>
    <mergeCell ref="J41:L41"/>
    <mergeCell ref="E15:E16"/>
    <mergeCell ref="C13:C14"/>
    <mergeCell ref="E10:E11"/>
    <mergeCell ref="C60:C61"/>
    <mergeCell ref="D60:D61"/>
    <mergeCell ref="E57:F58"/>
    <mergeCell ref="C33:C34"/>
    <mergeCell ref="D33:E33"/>
    <mergeCell ref="F50:F51"/>
    <mergeCell ref="L20:M20"/>
    <mergeCell ref="P11:Q11"/>
    <mergeCell ref="K24:L24"/>
    <mergeCell ref="N24:O24"/>
    <mergeCell ref="I16:K16"/>
    <mergeCell ref="Q24:R24"/>
    <mergeCell ref="U8:V8"/>
    <mergeCell ref="C11:C12"/>
    <mergeCell ref="Q14:R14"/>
    <mergeCell ref="P13:Q13"/>
    <mergeCell ref="E8:E9"/>
    <mergeCell ref="E13:E14"/>
    <mergeCell ref="U13:V13"/>
    <mergeCell ref="K26:L26"/>
    <mergeCell ref="N26:O26"/>
    <mergeCell ref="Q26:R26"/>
    <mergeCell ref="B30:B31"/>
    <mergeCell ref="C30:C31"/>
  </mergeCells>
  <dataValidations count="1">
    <dataValidation type="list" allowBlank="1" showInputMessage="1" showErrorMessage="1" sqref="J41">
      <formula1>$AC$37:$AC$38</formula1>
    </dataValidation>
  </dataValidations>
  <printOptions/>
  <pageMargins left="0.7874015748031497" right="0.2362204724409449" top="0.54" bottom="0.3937007874015748" header="0" footer="0.118110236220472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L29"/>
  <sheetViews>
    <sheetView view="pageBreakPreview" zoomScaleSheetLayoutView="100" workbookViewId="0" topLeftCell="A1">
      <selection activeCell="A1" sqref="A1"/>
    </sheetView>
  </sheetViews>
  <sheetFormatPr defaultColWidth="8.796875" defaultRowHeight="18" customHeight="1"/>
  <cols>
    <col min="1" max="1" width="2.19921875" style="0" customWidth="1"/>
    <col min="2" max="35" width="3.59765625" style="0" customWidth="1"/>
    <col min="36" max="36" width="5.69921875" style="0" customWidth="1"/>
    <col min="37" max="37" width="3.59765625" style="0" customWidth="1"/>
    <col min="38" max="38" width="7.5" style="0" customWidth="1"/>
    <col min="39" max="39" width="5.19921875" style="0" customWidth="1"/>
    <col min="40" max="16384" width="3.59765625" style="0" customWidth="1"/>
  </cols>
  <sheetData>
    <row r="1" ht="18" customHeight="1">
      <c r="B1" s="488" t="s">
        <v>723</v>
      </c>
    </row>
    <row r="2" spans="3:6" ht="18" customHeight="1">
      <c r="C2" s="487" t="s">
        <v>737</v>
      </c>
      <c r="D2" s="15"/>
      <c r="E2" s="15"/>
      <c r="F2" s="2"/>
    </row>
    <row r="4" spans="3:25" ht="18" customHeight="1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3:25" ht="18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3:25" ht="18" customHeight="1">
      <c r="C6" s="2"/>
      <c r="D6" s="2"/>
      <c r="E6" s="543" t="s">
        <v>726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 t="s">
        <v>727</v>
      </c>
      <c r="S6" s="2"/>
      <c r="T6" s="2"/>
      <c r="U6" s="2"/>
      <c r="V6" s="2"/>
      <c r="W6" s="2"/>
      <c r="X6" s="2"/>
      <c r="Y6" s="2"/>
    </row>
    <row r="7" spans="3:25" ht="18" customHeight="1">
      <c r="C7" s="2"/>
      <c r="D7" s="2"/>
      <c r="E7" s="543"/>
      <c r="F7" s="2"/>
      <c r="G7" s="2"/>
      <c r="H7" s="537" t="s">
        <v>728</v>
      </c>
      <c r="I7" s="537"/>
      <c r="J7" s="537"/>
      <c r="K7" s="2"/>
      <c r="L7" s="2"/>
      <c r="M7" s="2"/>
      <c r="N7" s="2"/>
      <c r="O7" s="2"/>
      <c r="P7" s="538">
        <v>500</v>
      </c>
      <c r="Q7" s="2"/>
      <c r="R7" s="2"/>
      <c r="S7" s="2" t="s">
        <v>729</v>
      </c>
      <c r="T7" s="2"/>
      <c r="U7" s="2"/>
      <c r="V7" s="2"/>
      <c r="W7" s="2"/>
      <c r="X7" s="2"/>
      <c r="Y7" s="2"/>
    </row>
    <row r="8" spans="3:25" ht="18" customHeight="1">
      <c r="C8" s="36"/>
      <c r="D8" s="36"/>
      <c r="E8" s="543"/>
      <c r="F8" s="36"/>
      <c r="G8" s="36"/>
      <c r="H8" s="36"/>
      <c r="I8" s="36"/>
      <c r="J8" s="36"/>
      <c r="K8" s="36"/>
      <c r="L8" s="36"/>
      <c r="M8" s="36" t="s">
        <v>730</v>
      </c>
      <c r="N8" s="36"/>
      <c r="O8" s="36"/>
      <c r="P8" s="538"/>
      <c r="Q8" s="36"/>
      <c r="R8" s="36"/>
      <c r="S8" s="36" t="s">
        <v>731</v>
      </c>
      <c r="T8" s="36"/>
      <c r="U8" s="36"/>
      <c r="V8" s="36"/>
      <c r="W8" s="36"/>
      <c r="X8" s="36"/>
      <c r="Y8" s="36"/>
    </row>
    <row r="9" spans="3:25" ht="18" customHeight="1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539">
        <v>70</v>
      </c>
      <c r="O9" s="36"/>
      <c r="P9" s="538"/>
      <c r="Q9" s="36"/>
      <c r="R9" s="36"/>
      <c r="S9" s="36"/>
      <c r="T9" s="36"/>
      <c r="U9" s="36"/>
      <c r="V9" s="36"/>
      <c r="W9" s="36"/>
      <c r="X9" s="36"/>
      <c r="Y9" s="36"/>
    </row>
    <row r="10" spans="3:32" ht="18" customHeight="1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539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AD10" t="s">
        <v>739</v>
      </c>
      <c r="AF10">
        <v>235</v>
      </c>
    </row>
    <row r="11" spans="3:32" ht="18" customHeight="1">
      <c r="C11" s="36"/>
      <c r="D11" s="36"/>
      <c r="E11" s="36"/>
      <c r="F11" s="36"/>
      <c r="G11" s="36"/>
      <c r="H11" s="540" t="s">
        <v>732</v>
      </c>
      <c r="I11" s="540"/>
      <c r="J11" s="540"/>
      <c r="K11" s="36"/>
      <c r="L11" s="492">
        <v>50</v>
      </c>
      <c r="M11" s="36"/>
      <c r="N11" s="539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AD11" t="s">
        <v>740</v>
      </c>
      <c r="AF11">
        <v>295</v>
      </c>
    </row>
    <row r="12" spans="3:32" ht="18" customHeight="1"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AD12" t="s">
        <v>741</v>
      </c>
      <c r="AF12">
        <v>345</v>
      </c>
    </row>
    <row r="13" spans="3:25" ht="18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3:36" ht="18" customHeight="1">
      <c r="C14" s="14"/>
      <c r="D14" s="14"/>
      <c r="E14" s="14"/>
      <c r="F14" s="14"/>
      <c r="G14" s="14"/>
      <c r="H14" s="14"/>
      <c r="I14" s="899" t="s">
        <v>733</v>
      </c>
      <c r="J14" s="899"/>
      <c r="K14" s="899"/>
      <c r="L14" s="902" t="s">
        <v>738</v>
      </c>
      <c r="M14" s="90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AD14" t="s">
        <v>742</v>
      </c>
      <c r="AE14">
        <v>198</v>
      </c>
      <c r="AJ14" s="493">
        <f>IF(L14=AD10,AF10,IF(L14=AD11,AF11,IF(L14=AD12,AF12)))</f>
        <v>235</v>
      </c>
    </row>
    <row r="15" spans="3:38" ht="18" customHeight="1">
      <c r="C15" s="2"/>
      <c r="D15" s="2"/>
      <c r="E15" s="2"/>
      <c r="F15" s="2"/>
      <c r="G15" s="2"/>
      <c r="H15" s="2"/>
      <c r="I15" s="900" t="s">
        <v>128</v>
      </c>
      <c r="J15" s="900"/>
      <c r="K15" s="900"/>
      <c r="L15" s="901" t="s">
        <v>749</v>
      </c>
      <c r="M15" s="90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AD15" t="s">
        <v>746</v>
      </c>
      <c r="AE15">
        <v>286</v>
      </c>
      <c r="AJ15" s="493">
        <f>IF(L15=AD14,AE14,IF(L15=AD15,AE15,IF(L15=AD16,AE16,IF(L15=AD17,AE17))))</f>
        <v>198</v>
      </c>
      <c r="AL15" s="497">
        <f>ROUNDDOWN(AJ14*AJ15,-3)</f>
        <v>46000</v>
      </c>
    </row>
    <row r="16" spans="3:36" ht="18" customHeight="1">
      <c r="C16" s="2"/>
      <c r="D16" s="2"/>
      <c r="E16" s="2"/>
      <c r="F16" s="2"/>
      <c r="G16" s="2"/>
      <c r="H16" s="2"/>
      <c r="I16" s="900" t="s">
        <v>745</v>
      </c>
      <c r="J16" s="900"/>
      <c r="K16" s="900"/>
      <c r="L16" s="901">
        <v>1</v>
      </c>
      <c r="M16" s="90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AD16" t="s">
        <v>743</v>
      </c>
      <c r="AE16">
        <v>387</v>
      </c>
      <c r="AJ16" s="493"/>
    </row>
    <row r="17" spans="3:31" ht="18" customHeight="1">
      <c r="C17" s="2"/>
      <c r="D17" s="2"/>
      <c r="E17" s="2"/>
      <c r="F17" s="2"/>
      <c r="G17" s="2"/>
      <c r="H17" s="2"/>
      <c r="I17" s="2"/>
      <c r="U17" s="2"/>
      <c r="V17" s="2"/>
      <c r="W17" s="2"/>
      <c r="X17" s="2"/>
      <c r="Y17" s="2"/>
      <c r="AD17" t="s">
        <v>744</v>
      </c>
      <c r="AE17">
        <v>506</v>
      </c>
    </row>
    <row r="18" spans="3:25" ht="18" customHeight="1">
      <c r="C18" s="2"/>
      <c r="D18" s="2"/>
      <c r="E18" s="2"/>
      <c r="F18" s="2"/>
      <c r="G18" s="2"/>
      <c r="H18" s="2"/>
      <c r="I18" s="605" t="s">
        <v>736</v>
      </c>
      <c r="J18" s="605"/>
      <c r="K18" s="605"/>
      <c r="L18" s="15"/>
      <c r="M18" s="15"/>
      <c r="N18" s="588" t="s">
        <v>734</v>
      </c>
      <c r="O18" s="588"/>
      <c r="P18" s="581">
        <f>ROUNDDOWN(AJ14*AJ15*L16,-3)</f>
        <v>46000</v>
      </c>
      <c r="Q18" s="581"/>
      <c r="R18" s="542"/>
      <c r="S18" s="136" t="s">
        <v>735</v>
      </c>
      <c r="U18" s="2"/>
      <c r="V18" s="2"/>
      <c r="W18" s="2"/>
      <c r="X18" s="2"/>
      <c r="Y18" s="2"/>
    </row>
    <row r="19" spans="19:30" ht="18" customHeight="1">
      <c r="S19" s="495"/>
      <c r="AD19">
        <v>1</v>
      </c>
    </row>
    <row r="20" spans="19:30" ht="18" customHeight="1">
      <c r="S20" s="495"/>
      <c r="AD20">
        <v>2</v>
      </c>
    </row>
    <row r="21" spans="4:30" ht="18" customHeight="1">
      <c r="D21" t="s">
        <v>747</v>
      </c>
      <c r="S21" s="495"/>
      <c r="AD21">
        <v>3</v>
      </c>
    </row>
    <row r="22" ht="18" customHeight="1">
      <c r="S22" s="495"/>
    </row>
    <row r="23" spans="9:19" ht="18" customHeight="1">
      <c r="I23" s="897" t="s">
        <v>748</v>
      </c>
      <c r="J23" s="897"/>
      <c r="K23" s="897"/>
      <c r="L23" s="897"/>
      <c r="M23" s="897"/>
      <c r="N23" s="897"/>
      <c r="O23" s="498" t="s">
        <v>750</v>
      </c>
      <c r="S23" s="495"/>
    </row>
    <row r="24" spans="12:36" ht="18" customHeight="1">
      <c r="L24" s="898">
        <f>IF(I23=AC24,AJ24,IF(I23=AC25,AJ25,IF(I23=AC26,AJ26)))</f>
        <v>808</v>
      </c>
      <c r="M24" s="898"/>
      <c r="N24" s="898"/>
      <c r="O24" s="136" t="s">
        <v>735</v>
      </c>
      <c r="AJ24" s="494">
        <f>'朝顔チェーン'!$N$22</f>
        <v>3151</v>
      </c>
    </row>
    <row r="25" spans="29:36" ht="18" customHeight="1">
      <c r="AC25" t="s">
        <v>748</v>
      </c>
      <c r="AJ25" s="494">
        <f>'朝顔チェーン'!$D$97</f>
        <v>808</v>
      </c>
    </row>
    <row r="26" ht="18" customHeight="1">
      <c r="AJ26" s="494">
        <f>SUM(AJ24:AJ25)</f>
        <v>3959</v>
      </c>
    </row>
    <row r="28" spans="9:22" ht="18" customHeight="1">
      <c r="I28" s="541">
        <f>L24</f>
        <v>808</v>
      </c>
      <c r="J28" s="541"/>
      <c r="K28" s="644" t="s">
        <v>95</v>
      </c>
      <c r="L28" s="605" t="str">
        <f>IF($O$23&lt;=$U$23,"＜","＞")</f>
        <v>＞</v>
      </c>
      <c r="M28" s="605" t="s">
        <v>525</v>
      </c>
      <c r="N28" s="582"/>
      <c r="O28" s="690">
        <f>P18</f>
        <v>46000</v>
      </c>
      <c r="P28" s="690"/>
      <c r="Q28" s="690"/>
      <c r="R28" s="644" t="s">
        <v>95</v>
      </c>
      <c r="S28" s="610">
        <f>IF(I28&lt;=O28,"","NG")</f>
      </c>
      <c r="T28" s="610"/>
      <c r="U28" s="610"/>
      <c r="V28" s="610"/>
    </row>
    <row r="29" spans="9:22" ht="18" customHeight="1">
      <c r="I29" s="755"/>
      <c r="J29" s="755"/>
      <c r="K29" s="644"/>
      <c r="L29" s="605"/>
      <c r="M29" s="582"/>
      <c r="N29" s="582"/>
      <c r="O29" s="690"/>
      <c r="P29" s="690"/>
      <c r="Q29" s="690"/>
      <c r="R29" s="644"/>
      <c r="S29" s="610"/>
      <c r="T29" s="610"/>
      <c r="U29" s="610"/>
      <c r="V29" s="610"/>
    </row>
  </sheetData>
  <sheetProtection sheet="1" objects="1" scenarios="1"/>
  <mergeCells count="23">
    <mergeCell ref="E6:E8"/>
    <mergeCell ref="H7:J7"/>
    <mergeCell ref="P7:P9"/>
    <mergeCell ref="N9:N11"/>
    <mergeCell ref="H11:J11"/>
    <mergeCell ref="N18:O18"/>
    <mergeCell ref="P18:R18"/>
    <mergeCell ref="L14:M14"/>
    <mergeCell ref="L15:M15"/>
    <mergeCell ref="I14:K14"/>
    <mergeCell ref="I15:K15"/>
    <mergeCell ref="I16:K16"/>
    <mergeCell ref="L16:M16"/>
    <mergeCell ref="I18:K18"/>
    <mergeCell ref="I28:J29"/>
    <mergeCell ref="K28:K29"/>
    <mergeCell ref="L28:L29"/>
    <mergeCell ref="R28:R29"/>
    <mergeCell ref="S28:V29"/>
    <mergeCell ref="I23:N23"/>
    <mergeCell ref="L24:N24"/>
    <mergeCell ref="M28:N29"/>
    <mergeCell ref="O28:Q29"/>
  </mergeCells>
  <dataValidations count="4">
    <dataValidation type="list" allowBlank="1" showInputMessage="1" showErrorMessage="1" sqref="L14:M14">
      <formula1>$AD$9:$AD$12</formula1>
    </dataValidation>
    <dataValidation type="list" allowBlank="1" showInputMessage="1" showErrorMessage="1" sqref="L16:M16">
      <formula1>$AD$18:$AD$21</formula1>
    </dataValidation>
    <dataValidation type="list" allowBlank="1" showInputMessage="1" showErrorMessage="1" sqref="L15:M15">
      <formula1>$AD$13:$AD$17</formula1>
    </dataValidation>
    <dataValidation type="list" allowBlank="1" showInputMessage="1" showErrorMessage="1" sqref="I23:N23">
      <formula1>$AC$23:$AC$26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5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7" width="3.3984375" style="2" customWidth="1"/>
    <col min="28" max="28" width="3.09765625" style="2" customWidth="1"/>
    <col min="29" max="29" width="21.19921875" style="2" customWidth="1"/>
    <col min="30" max="30" width="4.69921875" style="2" customWidth="1"/>
    <col min="31" max="32" width="11.59765625" style="2" customWidth="1"/>
    <col min="33" max="33" width="10.09765625" style="2" customWidth="1"/>
    <col min="34" max="34" width="9.19921875" style="2" customWidth="1"/>
    <col min="35" max="35" width="6.8984375" style="2" customWidth="1"/>
    <col min="36" max="36" width="11.59765625" style="2" customWidth="1"/>
    <col min="37" max="37" width="13.69921875" style="2" customWidth="1"/>
    <col min="38" max="38" width="9" style="2" customWidth="1"/>
    <col min="39" max="39" width="9.3984375" style="2" customWidth="1"/>
    <col min="40" max="16384" width="4.69921875" style="2" customWidth="1"/>
  </cols>
  <sheetData>
    <row r="1" ht="24.75" customHeight="1">
      <c r="B1" s="488" t="s">
        <v>723</v>
      </c>
    </row>
    <row r="2" spans="1:45" ht="18" customHeight="1">
      <c r="A2" s="15"/>
      <c r="B2" s="486" t="s">
        <v>710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66"/>
      <c r="W2" s="66"/>
      <c r="X2" s="66"/>
      <c r="Y2" s="66"/>
      <c r="Z2" s="66"/>
      <c r="AA2" s="66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14"/>
    </row>
    <row r="3" spans="1:45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66"/>
      <c r="W3" s="66"/>
      <c r="X3" s="66"/>
      <c r="Y3" s="66"/>
      <c r="Z3" s="66"/>
      <c r="AA3" s="66"/>
      <c r="AB3" s="38"/>
      <c r="AC3" s="41" t="s">
        <v>570</v>
      </c>
      <c r="AD3" s="41" t="s">
        <v>117</v>
      </c>
      <c r="AE3" s="41" t="s">
        <v>118</v>
      </c>
      <c r="AF3" s="41" t="s">
        <v>119</v>
      </c>
      <c r="AG3" s="41" t="s">
        <v>120</v>
      </c>
      <c r="AH3" s="41" t="s">
        <v>121</v>
      </c>
      <c r="AI3" s="41" t="s">
        <v>122</v>
      </c>
      <c r="AJ3" s="41" t="s">
        <v>123</v>
      </c>
      <c r="AK3" s="38"/>
      <c r="AL3" s="38"/>
      <c r="AM3" s="38"/>
      <c r="AN3" s="38"/>
      <c r="AO3" s="38"/>
      <c r="AP3" s="38"/>
      <c r="AQ3" s="38"/>
      <c r="AR3" s="38"/>
      <c r="AS3" s="14"/>
    </row>
    <row r="4" spans="1:45" ht="18" customHeight="1">
      <c r="A4" s="15"/>
      <c r="B4" s="15"/>
      <c r="C4" s="64" t="s">
        <v>548</v>
      </c>
      <c r="D4" s="64"/>
      <c r="E4" s="15"/>
      <c r="F4" s="15"/>
      <c r="G4" s="15"/>
      <c r="H4" s="570" t="s">
        <v>101</v>
      </c>
      <c r="I4" s="570"/>
      <c r="J4" s="570"/>
      <c r="K4" s="570"/>
      <c r="L4" s="570"/>
      <c r="M4" s="15"/>
      <c r="N4" s="29">
        <f>VLOOKUP($H$4,$AC$19:$AO$23,3,FALSE)</f>
        <v>28</v>
      </c>
      <c r="O4" s="18" t="s">
        <v>69</v>
      </c>
      <c r="P4" s="572">
        <f>VLOOKUP($H$4,$AC$19:$AO$23,4,FALSE)</f>
        <v>240</v>
      </c>
      <c r="Q4" s="572"/>
      <c r="R4" s="572"/>
      <c r="S4" s="294"/>
      <c r="T4" s="15" t="s">
        <v>69</v>
      </c>
      <c r="U4" s="541">
        <f>VLOOKUP($H$4,$AC$19:$AO$23,5,FALSE)</f>
        <v>4000</v>
      </c>
      <c r="V4" s="541"/>
      <c r="W4" s="66"/>
      <c r="X4" s="66"/>
      <c r="Y4" s="66"/>
      <c r="Z4" s="66"/>
      <c r="AA4" s="66"/>
      <c r="AB4" s="38"/>
      <c r="AC4" s="548" t="s">
        <v>107</v>
      </c>
      <c r="AD4" s="575" t="s">
        <v>129</v>
      </c>
      <c r="AE4" s="575" t="s">
        <v>144</v>
      </c>
      <c r="AF4" s="575" t="s">
        <v>110</v>
      </c>
      <c r="AG4" s="575" t="s">
        <v>145</v>
      </c>
      <c r="AH4" s="575" t="s">
        <v>146</v>
      </c>
      <c r="AI4" s="575" t="s">
        <v>571</v>
      </c>
      <c r="AJ4" s="575" t="s">
        <v>133</v>
      </c>
      <c r="AK4" s="38"/>
      <c r="AL4" s="38"/>
      <c r="AM4" s="38"/>
      <c r="AN4" s="38"/>
      <c r="AO4" s="38"/>
      <c r="AP4" s="38"/>
      <c r="AQ4" s="38"/>
      <c r="AR4" s="38"/>
      <c r="AS4" s="14"/>
    </row>
    <row r="5" spans="1:45" ht="18" customHeight="1">
      <c r="A5" s="15"/>
      <c r="B5" s="15"/>
      <c r="C5" s="15"/>
      <c r="D5" s="15"/>
      <c r="E5" s="15"/>
      <c r="F5" s="64" t="s">
        <v>549</v>
      </c>
      <c r="G5" s="15"/>
      <c r="H5" s="15"/>
      <c r="I5" s="15"/>
      <c r="J5" s="15"/>
      <c r="K5" s="15"/>
      <c r="L5" s="15"/>
      <c r="M5" s="588" t="s">
        <v>572</v>
      </c>
      <c r="N5" s="588"/>
      <c r="O5" s="92"/>
      <c r="P5" s="591">
        <f>VLOOKUP($H$4,$AC$19:$AO$23,6,FALSE)</f>
        <v>176</v>
      </c>
      <c r="Q5" s="591"/>
      <c r="R5" s="591"/>
      <c r="S5" s="571"/>
      <c r="T5" s="571"/>
      <c r="U5" s="15" t="s">
        <v>573</v>
      </c>
      <c r="V5" s="15"/>
      <c r="W5" s="66"/>
      <c r="X5" s="66"/>
      <c r="Y5" s="66"/>
      <c r="Z5" s="26"/>
      <c r="AA5" s="15"/>
      <c r="AB5" s="38"/>
      <c r="AC5" s="549"/>
      <c r="AD5" s="545"/>
      <c r="AE5" s="545"/>
      <c r="AF5" s="545"/>
      <c r="AG5" s="545"/>
      <c r="AH5" s="545"/>
      <c r="AI5" s="545"/>
      <c r="AJ5" s="545"/>
      <c r="AK5" s="38"/>
      <c r="AL5" s="38"/>
      <c r="AM5" s="38"/>
      <c r="AN5" s="38"/>
      <c r="AO5" s="38"/>
      <c r="AP5" s="38"/>
      <c r="AQ5" s="38"/>
      <c r="AR5" s="38"/>
      <c r="AS5" s="14"/>
    </row>
    <row r="6" spans="1:45" ht="18" customHeight="1">
      <c r="A6" s="15"/>
      <c r="B6" s="15"/>
      <c r="C6" s="15"/>
      <c r="D6" s="15"/>
      <c r="E6" s="15"/>
      <c r="F6" s="64" t="s">
        <v>550</v>
      </c>
      <c r="G6" s="15"/>
      <c r="H6" s="15"/>
      <c r="I6" s="15"/>
      <c r="J6" s="15"/>
      <c r="K6" s="15"/>
      <c r="L6" s="15"/>
      <c r="M6" s="588" t="s">
        <v>574</v>
      </c>
      <c r="N6" s="588"/>
      <c r="O6" s="92"/>
      <c r="P6" s="591">
        <f>VLOOKUP($H$4,$AC$19:$AO$23,9,FALSE)</f>
        <v>439000</v>
      </c>
      <c r="Q6" s="591"/>
      <c r="R6" s="591"/>
      <c r="S6" s="571"/>
      <c r="T6" s="571"/>
      <c r="U6" s="15" t="s">
        <v>166</v>
      </c>
      <c r="V6" s="15"/>
      <c r="W6" s="66"/>
      <c r="X6" s="66"/>
      <c r="Y6" s="66"/>
      <c r="Z6" s="27"/>
      <c r="AA6" s="15"/>
      <c r="AB6" s="38"/>
      <c r="AC6" s="42" t="s">
        <v>143</v>
      </c>
      <c r="AD6" s="43" t="s">
        <v>575</v>
      </c>
      <c r="AE6" s="44" t="s">
        <v>576</v>
      </c>
      <c r="AF6" s="45" t="s">
        <v>577</v>
      </c>
      <c r="AG6" s="44" t="s">
        <v>578</v>
      </c>
      <c r="AH6" s="45" t="s">
        <v>578</v>
      </c>
      <c r="AI6" s="44" t="s">
        <v>579</v>
      </c>
      <c r="AJ6" s="44" t="s">
        <v>577</v>
      </c>
      <c r="AK6" s="38"/>
      <c r="AL6" s="38"/>
      <c r="AM6" s="38"/>
      <c r="AN6" s="38"/>
      <c r="AO6" s="38"/>
      <c r="AP6" s="38"/>
      <c r="AQ6" s="38"/>
      <c r="AR6" s="38"/>
      <c r="AS6" s="14"/>
    </row>
    <row r="7" spans="1:45" ht="18" customHeight="1">
      <c r="A7" s="15"/>
      <c r="B7" s="15"/>
      <c r="C7" s="15"/>
      <c r="D7" s="15"/>
      <c r="E7" s="15"/>
      <c r="F7" s="15" t="s">
        <v>551</v>
      </c>
      <c r="G7" s="15"/>
      <c r="H7" s="15"/>
      <c r="I7" s="15"/>
      <c r="J7" s="15"/>
      <c r="K7" s="15"/>
      <c r="L7" s="15"/>
      <c r="M7" s="588" t="s">
        <v>580</v>
      </c>
      <c r="N7" s="588"/>
      <c r="O7" s="92"/>
      <c r="P7" s="591">
        <f>VLOOKUP($H$4,$AC$19:$AO$23,10,FALSE)</f>
        <v>31360</v>
      </c>
      <c r="Q7" s="591"/>
      <c r="R7" s="591"/>
      <c r="S7" s="571"/>
      <c r="T7" s="571"/>
      <c r="U7" s="15" t="s">
        <v>581</v>
      </c>
      <c r="V7" s="15"/>
      <c r="W7" s="66"/>
      <c r="X7" s="66"/>
      <c r="Y7" s="66"/>
      <c r="Z7" s="27"/>
      <c r="AA7" s="15"/>
      <c r="AB7" s="38"/>
      <c r="AC7" s="46" t="s">
        <v>582</v>
      </c>
      <c r="AD7" s="47">
        <v>27</v>
      </c>
      <c r="AE7" s="48">
        <v>93200</v>
      </c>
      <c r="AF7" s="48">
        <v>3830</v>
      </c>
      <c r="AG7" s="47">
        <v>200000</v>
      </c>
      <c r="AH7" s="49">
        <v>235</v>
      </c>
      <c r="AI7" s="50">
        <v>16.4</v>
      </c>
      <c r="AJ7" s="50">
        <v>348.3</v>
      </c>
      <c r="AK7" s="38"/>
      <c r="AL7" s="38"/>
      <c r="AM7" s="38"/>
      <c r="AN7" s="38"/>
      <c r="AO7" s="38"/>
      <c r="AP7" s="38"/>
      <c r="AQ7" s="38"/>
      <c r="AR7" s="38"/>
      <c r="AS7" s="14"/>
    </row>
    <row r="8" spans="1:45" ht="18" customHeight="1">
      <c r="A8" s="15"/>
      <c r="B8" s="15"/>
      <c r="C8" s="15"/>
      <c r="D8" s="15"/>
      <c r="E8" s="15"/>
      <c r="F8" s="15" t="s">
        <v>552</v>
      </c>
      <c r="G8" s="15"/>
      <c r="H8" s="15"/>
      <c r="I8" s="15"/>
      <c r="J8" s="15"/>
      <c r="K8" s="15"/>
      <c r="L8" s="15"/>
      <c r="M8" s="588" t="s">
        <v>583</v>
      </c>
      <c r="N8" s="588"/>
      <c r="O8" s="91"/>
      <c r="P8" s="591">
        <f>VLOOKUP($H$4,$AC$19:$AO$23,11,FALSE)</f>
        <v>6860</v>
      </c>
      <c r="Q8" s="591"/>
      <c r="R8" s="591"/>
      <c r="S8" s="571"/>
      <c r="T8" s="571"/>
      <c r="U8" s="15" t="s">
        <v>578</v>
      </c>
      <c r="V8" s="15"/>
      <c r="W8" s="66"/>
      <c r="X8" s="66"/>
      <c r="Y8" s="66"/>
      <c r="Z8" s="26"/>
      <c r="AA8" s="15"/>
      <c r="AB8" s="38"/>
      <c r="AC8" s="51" t="s">
        <v>584</v>
      </c>
      <c r="AD8" s="52">
        <v>40</v>
      </c>
      <c r="AE8" s="53">
        <v>283000</v>
      </c>
      <c r="AF8" s="53">
        <v>9440</v>
      </c>
      <c r="AG8" s="52">
        <v>200000</v>
      </c>
      <c r="AH8" s="54">
        <v>165</v>
      </c>
      <c r="AI8" s="55">
        <v>23.4</v>
      </c>
      <c r="AJ8" s="55">
        <v>517.2</v>
      </c>
      <c r="AK8" s="38"/>
      <c r="AL8" s="38"/>
      <c r="AM8" s="38"/>
      <c r="AN8" s="38"/>
      <c r="AO8" s="38"/>
      <c r="AP8" s="38"/>
      <c r="AQ8" s="38"/>
      <c r="AR8" s="38"/>
      <c r="AS8" s="14"/>
    </row>
    <row r="9" spans="1:45" ht="18" customHeight="1">
      <c r="A9" s="15"/>
      <c r="B9" s="15"/>
      <c r="C9" s="15"/>
      <c r="D9" s="15"/>
      <c r="E9" s="15"/>
      <c r="F9" s="15" t="s">
        <v>553</v>
      </c>
      <c r="G9" s="15"/>
      <c r="H9" s="15"/>
      <c r="I9" s="15"/>
      <c r="J9" s="15"/>
      <c r="K9" s="15"/>
      <c r="L9" s="15"/>
      <c r="M9" s="569" t="s">
        <v>554</v>
      </c>
      <c r="N9" s="569"/>
      <c r="O9" s="91"/>
      <c r="P9" s="589">
        <f>VLOOKUP($H$4,$AC$19:$AO$23,12,FALSE)</f>
        <v>16.2</v>
      </c>
      <c r="Q9" s="589"/>
      <c r="R9" s="589"/>
      <c r="S9" s="579"/>
      <c r="T9" s="579"/>
      <c r="U9" s="15" t="s">
        <v>578</v>
      </c>
      <c r="V9" s="15"/>
      <c r="W9" s="66"/>
      <c r="X9" s="66"/>
      <c r="Y9" s="66"/>
      <c r="Z9" s="27"/>
      <c r="AA9" s="15"/>
      <c r="AB9" s="38"/>
      <c r="AC9" s="51" t="s">
        <v>585</v>
      </c>
      <c r="AD9" s="52">
        <v>69</v>
      </c>
      <c r="AE9" s="53">
        <v>755000</v>
      </c>
      <c r="AF9" s="53">
        <v>20100</v>
      </c>
      <c r="AG9" s="52">
        <v>200000</v>
      </c>
      <c r="AH9" s="54">
        <v>165</v>
      </c>
      <c r="AI9" s="55">
        <v>29.1</v>
      </c>
      <c r="AJ9" s="55">
        <v>892.7</v>
      </c>
      <c r="AK9" s="38"/>
      <c r="AL9" s="38"/>
      <c r="AM9" s="38"/>
      <c r="AN9" s="38"/>
      <c r="AO9" s="38"/>
      <c r="AP9" s="38"/>
      <c r="AQ9" s="38"/>
      <c r="AR9" s="38"/>
      <c r="AS9" s="14"/>
    </row>
    <row r="10" spans="1:45" ht="18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23"/>
      <c r="N10" s="123"/>
      <c r="O10" s="91"/>
      <c r="P10" s="440"/>
      <c r="Q10" s="440"/>
      <c r="R10" s="440"/>
      <c r="S10" s="441"/>
      <c r="T10" s="441"/>
      <c r="U10" s="15"/>
      <c r="V10" s="15"/>
      <c r="W10" s="66"/>
      <c r="X10" s="66"/>
      <c r="Y10" s="66"/>
      <c r="Z10" s="27"/>
      <c r="AA10" s="15"/>
      <c r="AB10" s="38"/>
      <c r="AC10" s="51" t="s">
        <v>586</v>
      </c>
      <c r="AD10" s="52">
        <v>93</v>
      </c>
      <c r="AE10" s="53">
        <v>1870000</v>
      </c>
      <c r="AF10" s="53">
        <v>37500</v>
      </c>
      <c r="AG10" s="52">
        <v>200000</v>
      </c>
      <c r="AH10" s="54">
        <v>165</v>
      </c>
      <c r="AI10" s="55">
        <v>39.3</v>
      </c>
      <c r="AJ10" s="52">
        <v>1213</v>
      </c>
      <c r="AK10" s="38"/>
      <c r="AL10" s="38"/>
      <c r="AM10" s="38"/>
      <c r="AN10" s="38"/>
      <c r="AO10" s="38"/>
      <c r="AP10" s="38"/>
      <c r="AQ10" s="38"/>
      <c r="AR10" s="38"/>
      <c r="AS10" s="14"/>
    </row>
    <row r="11" spans="1:45" ht="18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3"/>
      <c r="O11" s="38"/>
      <c r="P11" s="38"/>
      <c r="Q11" s="38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8"/>
      <c r="AC11" s="51" t="s">
        <v>587</v>
      </c>
      <c r="AD11" s="52">
        <v>40</v>
      </c>
      <c r="AE11" s="53">
        <v>283000</v>
      </c>
      <c r="AF11" s="53">
        <v>9440</v>
      </c>
      <c r="AG11" s="52">
        <v>200000</v>
      </c>
      <c r="AH11" s="54">
        <v>215</v>
      </c>
      <c r="AI11" s="55">
        <v>23.4</v>
      </c>
      <c r="AJ11" s="55">
        <v>517.2</v>
      </c>
      <c r="AK11" s="38"/>
      <c r="AL11" s="38"/>
      <c r="AM11" s="38"/>
      <c r="AN11" s="38"/>
      <c r="AO11" s="38"/>
      <c r="AP11" s="38"/>
      <c r="AQ11" s="38"/>
      <c r="AR11" s="38"/>
      <c r="AS11" s="14"/>
    </row>
    <row r="12" spans="1:45" ht="18" customHeight="1">
      <c r="A12" s="15"/>
      <c r="B12" s="15"/>
      <c r="C12" s="15" t="s">
        <v>555</v>
      </c>
      <c r="D12" s="15"/>
      <c r="E12" s="15"/>
      <c r="F12" s="15"/>
      <c r="G12" s="15"/>
      <c r="H12" s="15"/>
      <c r="I12" s="15"/>
      <c r="J12" s="15"/>
      <c r="K12" s="15"/>
      <c r="L12" s="38"/>
      <c r="M12" s="18"/>
      <c r="N12" s="123"/>
      <c r="O12" s="38"/>
      <c r="P12" s="15"/>
      <c r="Q12" s="15"/>
      <c r="R12" s="15"/>
      <c r="S12" s="15"/>
      <c r="T12" s="15"/>
      <c r="U12" s="15"/>
      <c r="V12" s="19"/>
      <c r="W12" s="38"/>
      <c r="X12" s="15"/>
      <c r="Y12" s="38"/>
      <c r="Z12" s="38"/>
      <c r="AA12" s="15"/>
      <c r="AB12" s="38"/>
      <c r="AC12" s="51" t="s">
        <v>588</v>
      </c>
      <c r="AD12" s="52">
        <v>69</v>
      </c>
      <c r="AE12" s="53">
        <v>755000</v>
      </c>
      <c r="AF12" s="53">
        <v>20100</v>
      </c>
      <c r="AG12" s="52">
        <v>200000</v>
      </c>
      <c r="AH12" s="54">
        <v>215</v>
      </c>
      <c r="AI12" s="55">
        <v>29.1</v>
      </c>
      <c r="AJ12" s="55">
        <v>892.7</v>
      </c>
      <c r="AK12" s="38"/>
      <c r="AL12" s="38"/>
      <c r="AM12" s="38"/>
      <c r="AN12" s="38"/>
      <c r="AO12" s="38"/>
      <c r="AP12" s="38"/>
      <c r="AQ12" s="38"/>
      <c r="AR12" s="38"/>
      <c r="AS12" s="14"/>
    </row>
    <row r="13" spans="1:45" ht="18" customHeight="1">
      <c r="A13" s="15"/>
      <c r="B13" s="15"/>
      <c r="C13" s="15"/>
      <c r="D13" s="15" t="s">
        <v>698</v>
      </c>
      <c r="E13" s="15"/>
      <c r="F13" s="15"/>
      <c r="G13" s="15"/>
      <c r="H13" s="38"/>
      <c r="I13" s="15"/>
      <c r="J13" s="38"/>
      <c r="K13" s="15"/>
      <c r="L13" s="15"/>
      <c r="M13" s="442"/>
      <c r="N13" s="570" t="s">
        <v>724</v>
      </c>
      <c r="O13" s="580"/>
      <c r="P13" s="580"/>
      <c r="Q13" s="580"/>
      <c r="R13" s="580"/>
      <c r="S13" s="580"/>
      <c r="T13" s="580"/>
      <c r="U13" s="15"/>
      <c r="V13" s="442"/>
      <c r="W13" s="442"/>
      <c r="X13" s="15"/>
      <c r="Y13" s="19"/>
      <c r="Z13" s="38"/>
      <c r="AA13" s="15"/>
      <c r="AB13" s="38"/>
      <c r="AC13" s="59" t="s">
        <v>589</v>
      </c>
      <c r="AD13" s="60">
        <v>93</v>
      </c>
      <c r="AE13" s="61">
        <v>1870000</v>
      </c>
      <c r="AF13" s="61">
        <v>37500</v>
      </c>
      <c r="AG13" s="60">
        <v>200000</v>
      </c>
      <c r="AH13" s="62">
        <v>215</v>
      </c>
      <c r="AI13" s="63">
        <v>39.3</v>
      </c>
      <c r="AJ13" s="60">
        <v>1213</v>
      </c>
      <c r="AK13" s="38"/>
      <c r="AL13" s="38"/>
      <c r="AM13" s="38"/>
      <c r="AN13" s="38"/>
      <c r="AO13" s="38"/>
      <c r="AP13" s="38"/>
      <c r="AQ13" s="38"/>
      <c r="AR13" s="38"/>
      <c r="AS13" s="14"/>
    </row>
    <row r="14" spans="1:45" ht="18" customHeight="1">
      <c r="A14" s="15"/>
      <c r="B14" s="15"/>
      <c r="C14" s="15"/>
      <c r="D14" s="15"/>
      <c r="E14" s="15"/>
      <c r="F14" s="64" t="s">
        <v>549</v>
      </c>
      <c r="G14" s="15"/>
      <c r="H14" s="15"/>
      <c r="I14" s="15"/>
      <c r="J14" s="15"/>
      <c r="K14" s="15"/>
      <c r="L14" s="15"/>
      <c r="M14" s="588" t="s">
        <v>590</v>
      </c>
      <c r="N14" s="588"/>
      <c r="O14" s="15"/>
      <c r="P14" s="591">
        <f>VLOOKUP($N$13,$AC$7:$AJ$13,2,FALSE)</f>
        <v>40</v>
      </c>
      <c r="Q14" s="591"/>
      <c r="R14" s="591"/>
      <c r="S14" s="591"/>
      <c r="T14" s="590"/>
      <c r="U14" s="15" t="s">
        <v>540</v>
      </c>
      <c r="V14" s="15"/>
      <c r="W14" s="15"/>
      <c r="X14" s="38"/>
      <c r="Y14" s="38"/>
      <c r="Z14" s="443"/>
      <c r="AA14" s="15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14"/>
    </row>
    <row r="15" spans="1:45" ht="18" customHeight="1">
      <c r="A15" s="15"/>
      <c r="B15" s="15"/>
      <c r="C15" s="15"/>
      <c r="D15" s="15"/>
      <c r="E15" s="15"/>
      <c r="F15" s="64" t="s">
        <v>550</v>
      </c>
      <c r="G15" s="15"/>
      <c r="H15" s="15"/>
      <c r="I15" s="15"/>
      <c r="J15" s="15"/>
      <c r="K15" s="15"/>
      <c r="L15" s="15"/>
      <c r="M15" s="588" t="s">
        <v>591</v>
      </c>
      <c r="N15" s="588"/>
      <c r="O15" s="15"/>
      <c r="P15" s="591">
        <f>VLOOKUP($N$13,$AC$7:$AJ$13,3,FALSE)</f>
        <v>283000</v>
      </c>
      <c r="Q15" s="591"/>
      <c r="R15" s="591"/>
      <c r="S15" s="591"/>
      <c r="T15" s="590"/>
      <c r="U15" s="15" t="s">
        <v>592</v>
      </c>
      <c r="V15" s="15"/>
      <c r="W15" s="15"/>
      <c r="X15" s="38"/>
      <c r="Y15" s="38"/>
      <c r="Z15" s="27"/>
      <c r="AA15" s="15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14"/>
    </row>
    <row r="16" spans="1:45" ht="18" customHeight="1">
      <c r="A16" s="15"/>
      <c r="B16" s="15"/>
      <c r="C16" s="15"/>
      <c r="D16" s="15"/>
      <c r="E16" s="15"/>
      <c r="F16" s="15" t="s">
        <v>551</v>
      </c>
      <c r="G16" s="15"/>
      <c r="H16" s="15"/>
      <c r="I16" s="15"/>
      <c r="J16" s="15"/>
      <c r="K16" s="15"/>
      <c r="L16" s="15"/>
      <c r="M16" s="588" t="s">
        <v>593</v>
      </c>
      <c r="N16" s="588"/>
      <c r="O16" s="15"/>
      <c r="P16" s="591">
        <f>VLOOKUP($N$13,$AC$7:$AJ$13,4,FALSE)</f>
        <v>9440</v>
      </c>
      <c r="Q16" s="591"/>
      <c r="R16" s="591"/>
      <c r="S16" s="591"/>
      <c r="T16" s="590"/>
      <c r="U16" s="15" t="s">
        <v>594</v>
      </c>
      <c r="V16" s="15"/>
      <c r="W16" s="15"/>
      <c r="X16" s="38"/>
      <c r="Y16" s="38"/>
      <c r="Z16" s="27"/>
      <c r="AA16" s="15"/>
      <c r="AB16" s="38"/>
      <c r="AC16" s="41" t="s">
        <v>595</v>
      </c>
      <c r="AD16" s="41" t="s">
        <v>117</v>
      </c>
      <c r="AE16" s="41" t="s">
        <v>118</v>
      </c>
      <c r="AF16" s="41" t="s">
        <v>119</v>
      </c>
      <c r="AG16" s="41" t="s">
        <v>120</v>
      </c>
      <c r="AH16" s="41" t="s">
        <v>121</v>
      </c>
      <c r="AI16" s="41" t="s">
        <v>122</v>
      </c>
      <c r="AJ16" s="41" t="s">
        <v>123</v>
      </c>
      <c r="AK16" s="41" t="s">
        <v>124</v>
      </c>
      <c r="AL16" s="41" t="s">
        <v>125</v>
      </c>
      <c r="AM16" s="41" t="s">
        <v>126</v>
      </c>
      <c r="AN16" s="41" t="s">
        <v>127</v>
      </c>
      <c r="AO16" s="41" t="s">
        <v>132</v>
      </c>
      <c r="AP16" s="38"/>
      <c r="AQ16" s="38"/>
      <c r="AR16" s="38"/>
      <c r="AS16" s="14"/>
    </row>
    <row r="17" spans="1:45" ht="18" customHeight="1">
      <c r="A17" s="15"/>
      <c r="B17" s="15"/>
      <c r="C17" s="15"/>
      <c r="D17" s="15"/>
      <c r="E17" s="15"/>
      <c r="F17" s="15" t="s">
        <v>552</v>
      </c>
      <c r="G17" s="15"/>
      <c r="H17" s="15"/>
      <c r="I17" s="15"/>
      <c r="J17" s="15"/>
      <c r="K17" s="15"/>
      <c r="L17" s="15"/>
      <c r="M17" s="588" t="s">
        <v>596</v>
      </c>
      <c r="N17" s="588"/>
      <c r="O17" s="15"/>
      <c r="P17" s="591">
        <f>VLOOKUP($N$13,$AC$7:$AJ$13,5,FALSE)</f>
        <v>200000</v>
      </c>
      <c r="Q17" s="591"/>
      <c r="R17" s="591"/>
      <c r="S17" s="591"/>
      <c r="T17" s="590"/>
      <c r="U17" s="15" t="s">
        <v>597</v>
      </c>
      <c r="V17" s="15"/>
      <c r="W17" s="15"/>
      <c r="X17" s="38"/>
      <c r="Y17" s="38"/>
      <c r="Z17" s="27"/>
      <c r="AA17" s="15"/>
      <c r="AB17" s="38"/>
      <c r="AC17" s="67" t="s">
        <v>100</v>
      </c>
      <c r="AD17" s="68"/>
      <c r="AE17" s="67" t="s">
        <v>107</v>
      </c>
      <c r="AF17" s="69"/>
      <c r="AG17" s="69"/>
      <c r="AH17" s="70" t="s">
        <v>108</v>
      </c>
      <c r="AI17" s="71" t="s">
        <v>109</v>
      </c>
      <c r="AJ17" s="72"/>
      <c r="AK17" s="73" t="s">
        <v>115</v>
      </c>
      <c r="AL17" s="67" t="s">
        <v>110</v>
      </c>
      <c r="AM17" s="73" t="s">
        <v>116</v>
      </c>
      <c r="AN17" s="67" t="s">
        <v>131</v>
      </c>
      <c r="AO17" s="68"/>
      <c r="AP17" s="38"/>
      <c r="AQ17" s="38"/>
      <c r="AR17" s="38"/>
      <c r="AS17" s="14"/>
    </row>
    <row r="18" spans="1:45" ht="18" customHeight="1">
      <c r="A18" s="15"/>
      <c r="B18" s="15"/>
      <c r="C18" s="15"/>
      <c r="D18" s="15"/>
      <c r="E18" s="15"/>
      <c r="F18" s="15" t="s">
        <v>553</v>
      </c>
      <c r="G18" s="15"/>
      <c r="H18" s="15"/>
      <c r="I18" s="15"/>
      <c r="J18" s="15"/>
      <c r="K18" s="15"/>
      <c r="L18" s="15"/>
      <c r="M18" s="569" t="s">
        <v>554</v>
      </c>
      <c r="N18" s="569"/>
      <c r="O18" s="15"/>
      <c r="P18" s="591">
        <f>VLOOKUP($N$13,$AC$7:$AJ$13,6,FALSE)</f>
        <v>165</v>
      </c>
      <c r="Q18" s="591"/>
      <c r="R18" s="591"/>
      <c r="S18" s="591"/>
      <c r="T18" s="590"/>
      <c r="U18" s="15" t="s">
        <v>59</v>
      </c>
      <c r="V18" s="15"/>
      <c r="W18" s="15"/>
      <c r="X18" s="38"/>
      <c r="Y18" s="38"/>
      <c r="Z18" s="27"/>
      <c r="AA18" s="15"/>
      <c r="AB18" s="38"/>
      <c r="AC18" s="74"/>
      <c r="AD18" s="75"/>
      <c r="AE18" s="76" t="s">
        <v>106</v>
      </c>
      <c r="AF18" s="77"/>
      <c r="AG18" s="77"/>
      <c r="AH18" s="78" t="s">
        <v>95</v>
      </c>
      <c r="AI18" s="79" t="s">
        <v>130</v>
      </c>
      <c r="AJ18" s="80" t="s">
        <v>598</v>
      </c>
      <c r="AK18" s="78" t="s">
        <v>599</v>
      </c>
      <c r="AL18" s="76" t="s">
        <v>600</v>
      </c>
      <c r="AM18" s="78" t="s">
        <v>601</v>
      </c>
      <c r="AN18" s="76" t="s">
        <v>598</v>
      </c>
      <c r="AO18" s="81"/>
      <c r="AP18" s="38"/>
      <c r="AQ18" s="38"/>
      <c r="AR18" s="38"/>
      <c r="AS18" s="14"/>
    </row>
    <row r="19" spans="1:45" ht="18" customHeight="1">
      <c r="A19" s="15"/>
      <c r="B19" s="15"/>
      <c r="C19" s="15"/>
      <c r="D19" s="15"/>
      <c r="E19" s="15"/>
      <c r="F19" s="15" t="s">
        <v>556</v>
      </c>
      <c r="G19" s="15"/>
      <c r="H19" s="15"/>
      <c r="I19" s="15"/>
      <c r="J19" s="15"/>
      <c r="K19" s="15"/>
      <c r="L19" s="15"/>
      <c r="M19" s="588" t="s">
        <v>602</v>
      </c>
      <c r="N19" s="588"/>
      <c r="O19" s="15"/>
      <c r="P19" s="589">
        <f>VLOOKUP($N$13,$AC$7:$AJ$13,7,FALSE)</f>
        <v>23.4</v>
      </c>
      <c r="Q19" s="589"/>
      <c r="R19" s="589"/>
      <c r="S19" s="589"/>
      <c r="T19" s="590"/>
      <c r="U19" s="15" t="s">
        <v>96</v>
      </c>
      <c r="V19" s="15"/>
      <c r="W19" s="15"/>
      <c r="X19" s="38"/>
      <c r="Y19" s="38"/>
      <c r="Z19" s="27"/>
      <c r="AA19" s="15"/>
      <c r="AB19" s="38"/>
      <c r="AC19" s="82" t="s">
        <v>101</v>
      </c>
      <c r="AD19" s="83" t="s">
        <v>113</v>
      </c>
      <c r="AE19" s="84">
        <v>28</v>
      </c>
      <c r="AF19" s="85">
        <v>240</v>
      </c>
      <c r="AG19" s="86">
        <v>4000</v>
      </c>
      <c r="AH19" s="87">
        <v>176</v>
      </c>
      <c r="AI19" s="84">
        <v>44</v>
      </c>
      <c r="AJ19" s="88">
        <v>184</v>
      </c>
      <c r="AK19" s="47">
        <v>439000</v>
      </c>
      <c r="AL19" s="89">
        <v>31360</v>
      </c>
      <c r="AM19" s="47">
        <v>6860</v>
      </c>
      <c r="AN19" s="90">
        <v>16.2</v>
      </c>
      <c r="AO19" s="83" t="s">
        <v>111</v>
      </c>
      <c r="AP19" s="38"/>
      <c r="AQ19" s="38"/>
      <c r="AR19" s="38"/>
      <c r="AS19" s="14"/>
    </row>
    <row r="20" spans="1:45" ht="18" customHeight="1">
      <c r="A20" s="15"/>
      <c r="B20" s="15"/>
      <c r="C20" s="15"/>
      <c r="D20" s="15"/>
      <c r="E20" s="15"/>
      <c r="F20" s="64" t="s">
        <v>557</v>
      </c>
      <c r="G20" s="15"/>
      <c r="H20" s="15"/>
      <c r="I20" s="15"/>
      <c r="J20" s="15"/>
      <c r="K20" s="15"/>
      <c r="L20" s="15"/>
      <c r="M20" s="588" t="s">
        <v>603</v>
      </c>
      <c r="N20" s="588"/>
      <c r="O20" s="15"/>
      <c r="P20" s="589">
        <f>VLOOKUP($N$13,$AC$7:$AJ$13,8,FALSE)</f>
        <v>517.2</v>
      </c>
      <c r="Q20" s="589"/>
      <c r="R20" s="589"/>
      <c r="S20" s="589"/>
      <c r="T20" s="590"/>
      <c r="U20" s="15" t="s">
        <v>604</v>
      </c>
      <c r="V20" s="15"/>
      <c r="W20" s="15"/>
      <c r="X20" s="38"/>
      <c r="Y20" s="38"/>
      <c r="Z20" s="27"/>
      <c r="AA20" s="15"/>
      <c r="AB20" s="38"/>
      <c r="AC20" s="93" t="s">
        <v>102</v>
      </c>
      <c r="AD20" s="94"/>
      <c r="AE20" s="95">
        <v>28</v>
      </c>
      <c r="AF20" s="96">
        <v>200</v>
      </c>
      <c r="AG20" s="97">
        <v>4000</v>
      </c>
      <c r="AH20" s="98">
        <v>128</v>
      </c>
      <c r="AI20" s="95">
        <v>32</v>
      </c>
      <c r="AJ20" s="99">
        <v>160</v>
      </c>
      <c r="AK20" s="52">
        <v>439000</v>
      </c>
      <c r="AL20" s="100">
        <v>43200</v>
      </c>
      <c r="AM20" s="52">
        <v>8830</v>
      </c>
      <c r="AN20" s="101">
        <v>10.3</v>
      </c>
      <c r="AO20" s="94" t="s">
        <v>111</v>
      </c>
      <c r="AP20" s="38"/>
      <c r="AQ20" s="38"/>
      <c r="AR20" s="38"/>
      <c r="AS20" s="14"/>
    </row>
    <row r="21" spans="1:45" ht="18" customHeight="1">
      <c r="A21" s="15"/>
      <c r="B21" s="15"/>
      <c r="C21" s="15"/>
      <c r="D21" s="15"/>
      <c r="E21" s="15"/>
      <c r="F21" s="64"/>
      <c r="G21" s="15"/>
      <c r="H21" s="15"/>
      <c r="I21" s="15"/>
      <c r="J21" s="15"/>
      <c r="K21" s="15"/>
      <c r="L21" s="15"/>
      <c r="M21" s="18"/>
      <c r="N21" s="18"/>
      <c r="O21" s="15"/>
      <c r="P21" s="439"/>
      <c r="Q21" s="439"/>
      <c r="R21" s="439"/>
      <c r="S21" s="439"/>
      <c r="T21" s="163"/>
      <c r="U21" s="15"/>
      <c r="V21" s="15"/>
      <c r="W21" s="15"/>
      <c r="X21" s="38"/>
      <c r="Y21" s="38"/>
      <c r="Z21" s="27"/>
      <c r="AA21" s="15"/>
      <c r="AB21" s="38"/>
      <c r="AC21" s="93" t="s">
        <v>103</v>
      </c>
      <c r="AD21" s="94"/>
      <c r="AE21" s="95">
        <v>28</v>
      </c>
      <c r="AF21" s="96">
        <v>200</v>
      </c>
      <c r="AG21" s="97">
        <v>4000</v>
      </c>
      <c r="AH21" s="98">
        <v>176</v>
      </c>
      <c r="AI21" s="95">
        <v>44</v>
      </c>
      <c r="AJ21" s="99">
        <v>220</v>
      </c>
      <c r="AK21" s="52">
        <v>439000</v>
      </c>
      <c r="AL21" s="100">
        <v>43200</v>
      </c>
      <c r="AM21" s="52">
        <v>6860</v>
      </c>
      <c r="AN21" s="101">
        <v>13.2</v>
      </c>
      <c r="AO21" s="94" t="s">
        <v>111</v>
      </c>
      <c r="AP21" s="38"/>
      <c r="AQ21" s="38"/>
      <c r="AR21" s="38"/>
      <c r="AS21" s="14"/>
    </row>
    <row r="22" spans="1:45" ht="18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3"/>
      <c r="O22" s="91"/>
      <c r="P22" s="91"/>
      <c r="Q22" s="91"/>
      <c r="R22" s="91"/>
      <c r="S22" s="91"/>
      <c r="T22" s="15"/>
      <c r="U22" s="15"/>
      <c r="V22" s="15"/>
      <c r="W22" s="15"/>
      <c r="X22" s="15"/>
      <c r="Y22" s="15"/>
      <c r="Z22" s="15"/>
      <c r="AA22" s="15"/>
      <c r="AB22" s="38"/>
      <c r="AC22" s="93" t="s">
        <v>104</v>
      </c>
      <c r="AD22" s="94" t="s">
        <v>114</v>
      </c>
      <c r="AE22" s="95">
        <v>28</v>
      </c>
      <c r="AF22" s="96">
        <v>240</v>
      </c>
      <c r="AG22" s="97">
        <v>4000</v>
      </c>
      <c r="AH22" s="98">
        <v>124</v>
      </c>
      <c r="AI22" s="95">
        <v>31</v>
      </c>
      <c r="AJ22" s="99">
        <v>128</v>
      </c>
      <c r="AK22" s="52">
        <v>5190</v>
      </c>
      <c r="AL22" s="100">
        <v>3710</v>
      </c>
      <c r="AM22" s="52">
        <v>200000</v>
      </c>
      <c r="AN22" s="101">
        <v>185</v>
      </c>
      <c r="AO22" s="94" t="s">
        <v>112</v>
      </c>
      <c r="AP22" s="38"/>
      <c r="AQ22" s="38"/>
      <c r="AR22" s="38"/>
      <c r="AS22" s="14"/>
    </row>
    <row r="23" spans="1:45" ht="18" customHeight="1">
      <c r="A23" s="15"/>
      <c r="B23" s="15"/>
      <c r="C23" s="15"/>
      <c r="D23" s="15" t="s">
        <v>605</v>
      </c>
      <c r="E23" s="15"/>
      <c r="F23" s="15"/>
      <c r="G23" s="15"/>
      <c r="H23" s="15"/>
      <c r="I23" s="19"/>
      <c r="J23" s="38"/>
      <c r="K23" s="15"/>
      <c r="L23" s="570" t="s">
        <v>142</v>
      </c>
      <c r="M23" s="580"/>
      <c r="N23" s="580"/>
      <c r="O23" s="580"/>
      <c r="P23" s="580"/>
      <c r="Q23" s="580"/>
      <c r="R23" s="580"/>
      <c r="S23" s="15"/>
      <c r="T23" s="15"/>
      <c r="U23" s="442"/>
      <c r="V23" s="442"/>
      <c r="W23" s="442"/>
      <c r="X23" s="15"/>
      <c r="Y23" s="38"/>
      <c r="Z23" s="38"/>
      <c r="AA23" s="15"/>
      <c r="AB23" s="38"/>
      <c r="AC23" s="103" t="s">
        <v>105</v>
      </c>
      <c r="AD23" s="104" t="s">
        <v>114</v>
      </c>
      <c r="AE23" s="105">
        <v>28</v>
      </c>
      <c r="AF23" s="106">
        <v>240</v>
      </c>
      <c r="AG23" s="107">
        <v>4000</v>
      </c>
      <c r="AH23" s="108">
        <v>100</v>
      </c>
      <c r="AI23" s="105">
        <v>25</v>
      </c>
      <c r="AJ23" s="109">
        <v>103</v>
      </c>
      <c r="AK23" s="60">
        <v>7290</v>
      </c>
      <c r="AL23" s="110">
        <v>5210</v>
      </c>
      <c r="AM23" s="60">
        <v>70300</v>
      </c>
      <c r="AN23" s="111">
        <v>98</v>
      </c>
      <c r="AO23" s="104" t="s">
        <v>112</v>
      </c>
      <c r="AP23" s="38"/>
      <c r="AQ23" s="38"/>
      <c r="AR23" s="38"/>
      <c r="AS23" s="14"/>
    </row>
    <row r="24" spans="1:45" ht="18" customHeight="1">
      <c r="A24" s="15"/>
      <c r="B24" s="15"/>
      <c r="C24" s="15"/>
      <c r="D24" s="15"/>
      <c r="E24" s="15"/>
      <c r="F24" s="64" t="s">
        <v>549</v>
      </c>
      <c r="G24" s="15"/>
      <c r="H24" s="15"/>
      <c r="I24" s="15"/>
      <c r="J24" s="15"/>
      <c r="K24" s="15"/>
      <c r="L24" s="15"/>
      <c r="M24" s="588" t="s">
        <v>606</v>
      </c>
      <c r="N24" s="588"/>
      <c r="O24" s="15"/>
      <c r="P24" s="591">
        <f>VLOOKUP($L$23,$AC$7:$AJ$13,2,FALSE)</f>
        <v>27</v>
      </c>
      <c r="Q24" s="591"/>
      <c r="R24" s="591"/>
      <c r="S24" s="591"/>
      <c r="T24" s="590"/>
      <c r="U24" s="15" t="s">
        <v>607</v>
      </c>
      <c r="V24" s="15"/>
      <c r="W24" s="15"/>
      <c r="X24" s="38"/>
      <c r="Y24" s="38"/>
      <c r="Z24" s="443"/>
      <c r="AA24" s="15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14"/>
    </row>
    <row r="25" spans="1:45" ht="18" customHeight="1">
      <c r="A25" s="15"/>
      <c r="B25" s="15"/>
      <c r="C25" s="15"/>
      <c r="D25" s="15"/>
      <c r="E25" s="15"/>
      <c r="F25" s="64" t="s">
        <v>550</v>
      </c>
      <c r="G25" s="15"/>
      <c r="H25" s="15"/>
      <c r="I25" s="15"/>
      <c r="J25" s="15"/>
      <c r="K25" s="15"/>
      <c r="L25" s="15"/>
      <c r="M25" s="588" t="s">
        <v>608</v>
      </c>
      <c r="N25" s="588"/>
      <c r="O25" s="15"/>
      <c r="P25" s="591">
        <f>VLOOKUP($L$23,$AC$7:$AJ$13,3,FALSE)</f>
        <v>93200</v>
      </c>
      <c r="Q25" s="591"/>
      <c r="R25" s="591"/>
      <c r="S25" s="591"/>
      <c r="T25" s="590"/>
      <c r="U25" s="15" t="s">
        <v>609</v>
      </c>
      <c r="V25" s="15"/>
      <c r="W25" s="15"/>
      <c r="X25" s="38"/>
      <c r="Y25" s="38"/>
      <c r="Z25" s="27"/>
      <c r="AA25" s="15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14"/>
    </row>
    <row r="26" spans="1:45" ht="18" customHeight="1">
      <c r="A26" s="15"/>
      <c r="B26" s="15"/>
      <c r="C26" s="15"/>
      <c r="D26" s="15"/>
      <c r="E26" s="15"/>
      <c r="F26" s="15" t="s">
        <v>551</v>
      </c>
      <c r="G26" s="15"/>
      <c r="H26" s="15"/>
      <c r="I26" s="15"/>
      <c r="J26" s="15"/>
      <c r="K26" s="15"/>
      <c r="L26" s="15"/>
      <c r="M26" s="588" t="s">
        <v>610</v>
      </c>
      <c r="N26" s="588"/>
      <c r="O26" s="15"/>
      <c r="P26" s="591">
        <f>VLOOKUP($L$23,$AC$7:$AJ$13,4,FALSE)</f>
        <v>3830</v>
      </c>
      <c r="Q26" s="591"/>
      <c r="R26" s="591"/>
      <c r="S26" s="591"/>
      <c r="T26" s="590"/>
      <c r="U26" s="15" t="s">
        <v>611</v>
      </c>
      <c r="V26" s="15"/>
      <c r="W26" s="15"/>
      <c r="X26" s="38"/>
      <c r="Y26" s="38"/>
      <c r="Z26" s="27"/>
      <c r="AA26" s="15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14"/>
    </row>
    <row r="27" spans="1:45" ht="18" customHeight="1">
      <c r="A27" s="15"/>
      <c r="B27" s="15"/>
      <c r="C27" s="15"/>
      <c r="D27" s="15"/>
      <c r="E27" s="15"/>
      <c r="F27" s="15" t="s">
        <v>552</v>
      </c>
      <c r="G27" s="15"/>
      <c r="H27" s="15"/>
      <c r="I27" s="15"/>
      <c r="J27" s="15"/>
      <c r="K27" s="15"/>
      <c r="L27" s="15"/>
      <c r="M27" s="588" t="s">
        <v>612</v>
      </c>
      <c r="N27" s="588"/>
      <c r="O27" s="15"/>
      <c r="P27" s="591">
        <f>VLOOKUP($L$23,$AC$7:$AJ$13,5,FALSE)</f>
        <v>200000</v>
      </c>
      <c r="Q27" s="591"/>
      <c r="R27" s="591"/>
      <c r="S27" s="591"/>
      <c r="T27" s="590"/>
      <c r="U27" s="15" t="s">
        <v>613</v>
      </c>
      <c r="V27" s="15"/>
      <c r="W27" s="15"/>
      <c r="X27" s="38"/>
      <c r="Y27" s="38"/>
      <c r="Z27" s="27"/>
      <c r="AA27" s="15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14"/>
    </row>
    <row r="28" spans="1:45" ht="18" customHeight="1">
      <c r="A28" s="15"/>
      <c r="B28" s="15"/>
      <c r="C28" s="15"/>
      <c r="D28" s="15"/>
      <c r="E28" s="15"/>
      <c r="F28" s="15" t="s">
        <v>553</v>
      </c>
      <c r="G28" s="15"/>
      <c r="H28" s="15"/>
      <c r="I28" s="15"/>
      <c r="J28" s="15"/>
      <c r="K28" s="15"/>
      <c r="L28" s="15"/>
      <c r="M28" s="569" t="s">
        <v>554</v>
      </c>
      <c r="N28" s="569"/>
      <c r="O28" s="15"/>
      <c r="P28" s="591">
        <f>VLOOKUP($L$23,$AC$7:$AJ$13,6,FALSE)</f>
        <v>235</v>
      </c>
      <c r="Q28" s="591"/>
      <c r="R28" s="591"/>
      <c r="S28" s="591"/>
      <c r="T28" s="590"/>
      <c r="U28" s="15" t="s">
        <v>613</v>
      </c>
      <c r="V28" s="15"/>
      <c r="W28" s="15"/>
      <c r="X28" s="38"/>
      <c r="Y28" s="38"/>
      <c r="Z28" s="27"/>
      <c r="AA28" s="15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14"/>
    </row>
    <row r="29" spans="1:45" ht="18" customHeight="1">
      <c r="A29" s="15"/>
      <c r="B29" s="15"/>
      <c r="C29" s="15"/>
      <c r="D29" s="15"/>
      <c r="E29" s="15"/>
      <c r="F29" s="15" t="s">
        <v>556</v>
      </c>
      <c r="G29" s="15"/>
      <c r="H29" s="15"/>
      <c r="I29" s="15"/>
      <c r="J29" s="15"/>
      <c r="K29" s="15"/>
      <c r="L29" s="15"/>
      <c r="M29" s="588" t="s">
        <v>614</v>
      </c>
      <c r="N29" s="588"/>
      <c r="O29" s="15"/>
      <c r="P29" s="589">
        <f>VLOOKUP($L$23,$AC$7:$AJ$13,7,FALSE)</f>
        <v>16.4</v>
      </c>
      <c r="Q29" s="589"/>
      <c r="R29" s="589"/>
      <c r="S29" s="589"/>
      <c r="T29" s="590"/>
      <c r="U29" s="15" t="s">
        <v>615</v>
      </c>
      <c r="V29" s="15"/>
      <c r="W29" s="15"/>
      <c r="X29" s="38"/>
      <c r="Y29" s="38"/>
      <c r="Z29" s="27"/>
      <c r="AA29" s="15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14"/>
    </row>
    <row r="30" spans="1:72" ht="18" customHeight="1">
      <c r="A30" s="15"/>
      <c r="B30" s="15"/>
      <c r="C30" s="15"/>
      <c r="D30" s="15"/>
      <c r="E30" s="15"/>
      <c r="F30" s="64" t="s">
        <v>557</v>
      </c>
      <c r="G30" s="15"/>
      <c r="H30" s="15"/>
      <c r="I30" s="15"/>
      <c r="J30" s="15"/>
      <c r="K30" s="15"/>
      <c r="L30" s="15"/>
      <c r="M30" s="588" t="s">
        <v>616</v>
      </c>
      <c r="N30" s="588"/>
      <c r="O30" s="15"/>
      <c r="P30" s="589">
        <f>VLOOKUP($L$23,$AC$7:$AJ$13,8,FALSE)</f>
        <v>348.3</v>
      </c>
      <c r="Q30" s="589"/>
      <c r="R30" s="589"/>
      <c r="S30" s="589"/>
      <c r="T30" s="590"/>
      <c r="U30" s="15" t="s">
        <v>617</v>
      </c>
      <c r="V30" s="15"/>
      <c r="W30" s="15"/>
      <c r="X30" s="38"/>
      <c r="Y30" s="38"/>
      <c r="Z30" s="27"/>
      <c r="AA30" s="15"/>
      <c r="AB30" s="15"/>
      <c r="AC30" s="41" t="s">
        <v>618</v>
      </c>
      <c r="AD30" s="41" t="s">
        <v>117</v>
      </c>
      <c r="AE30" s="41" t="s">
        <v>118</v>
      </c>
      <c r="AF30" s="41"/>
      <c r="AG30" s="41" t="s">
        <v>120</v>
      </c>
      <c r="AH30" s="41"/>
      <c r="AI30" s="112"/>
      <c r="AJ30" s="112"/>
      <c r="AK30" s="112"/>
      <c r="AL30" s="346"/>
      <c r="AM30" s="346"/>
      <c r="AN30" s="136"/>
      <c r="AO30" s="444"/>
      <c r="AP30" s="346"/>
      <c r="AQ30" s="136"/>
      <c r="AR30" s="136"/>
      <c r="AS30" s="347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ht="18" customHeight="1">
      <c r="A31" s="15"/>
      <c r="B31" s="15"/>
      <c r="C31" s="15"/>
      <c r="D31" s="15"/>
      <c r="E31" s="15"/>
      <c r="F31" s="64"/>
      <c r="G31" s="15"/>
      <c r="H31" s="15"/>
      <c r="I31" s="15"/>
      <c r="J31" s="15"/>
      <c r="K31" s="15"/>
      <c r="L31" s="15"/>
      <c r="M31" s="18"/>
      <c r="N31" s="18"/>
      <c r="O31" s="15"/>
      <c r="P31" s="439"/>
      <c r="Q31" s="439"/>
      <c r="R31" s="439"/>
      <c r="S31" s="439"/>
      <c r="T31" s="163"/>
      <c r="U31" s="15"/>
      <c r="V31" s="15"/>
      <c r="W31" s="15"/>
      <c r="X31" s="38"/>
      <c r="Y31" s="38"/>
      <c r="Z31" s="27"/>
      <c r="AA31" s="15"/>
      <c r="AB31" s="15"/>
      <c r="AC31" s="575" t="s">
        <v>158</v>
      </c>
      <c r="AD31" s="147" t="s">
        <v>128</v>
      </c>
      <c r="AE31" s="573" t="s">
        <v>137</v>
      </c>
      <c r="AF31" s="574"/>
      <c r="AG31" s="573" t="s">
        <v>138</v>
      </c>
      <c r="AH31" s="574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347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ht="18" customHeight="1">
      <c r="A32" s="15"/>
      <c r="B32" s="15"/>
      <c r="C32" s="15" t="s">
        <v>619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48"/>
      <c r="AC32" s="576"/>
      <c r="AD32" s="149" t="s">
        <v>620</v>
      </c>
      <c r="AE32" s="583" t="s">
        <v>621</v>
      </c>
      <c r="AF32" s="584"/>
      <c r="AG32" s="583" t="s">
        <v>621</v>
      </c>
      <c r="AH32" s="584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347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ht="18" customHeight="1">
      <c r="A33" s="15"/>
      <c r="B33" s="15"/>
      <c r="C33" s="38"/>
      <c r="D33" s="15" t="s">
        <v>622</v>
      </c>
      <c r="E33" s="15"/>
      <c r="F33" s="15"/>
      <c r="G33" s="15"/>
      <c r="H33" s="15" t="s">
        <v>623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8"/>
      <c r="T33" s="18"/>
      <c r="U33" s="18"/>
      <c r="V33" s="18"/>
      <c r="W33" s="18"/>
      <c r="X33" s="15"/>
      <c r="Y33" s="15"/>
      <c r="Z33" s="15"/>
      <c r="AA33" s="15"/>
      <c r="AB33" s="15"/>
      <c r="AC33" s="150" t="s">
        <v>135</v>
      </c>
      <c r="AD33" s="87">
        <v>7</v>
      </c>
      <c r="AE33" s="585">
        <v>11800</v>
      </c>
      <c r="AF33" s="560"/>
      <c r="AG33" s="585">
        <v>2360</v>
      </c>
      <c r="AH33" s="560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347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18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8"/>
      <c r="N34" s="18"/>
      <c r="O34" s="15"/>
      <c r="P34" s="168"/>
      <c r="Q34" s="168"/>
      <c r="R34" s="166"/>
      <c r="S34" s="66"/>
      <c r="T34" s="66"/>
      <c r="U34" s="15"/>
      <c r="V34" s="146"/>
      <c r="W34" s="15"/>
      <c r="X34" s="15"/>
      <c r="Y34" s="15"/>
      <c r="Z34" s="15"/>
      <c r="AA34" s="15"/>
      <c r="AB34" s="15"/>
      <c r="AC34" s="151" t="s">
        <v>136</v>
      </c>
      <c r="AD34" s="108">
        <v>7</v>
      </c>
      <c r="AE34" s="561">
        <v>11800</v>
      </c>
      <c r="AF34" s="562"/>
      <c r="AG34" s="561">
        <v>4250</v>
      </c>
      <c r="AH34" s="562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347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45" ht="18" customHeight="1">
      <c r="A35" s="15"/>
      <c r="B35" s="15"/>
      <c r="C35" s="38"/>
      <c r="D35" s="15" t="s">
        <v>624</v>
      </c>
      <c r="E35" s="15"/>
      <c r="F35" s="15"/>
      <c r="G35" s="15"/>
      <c r="H35" s="15" t="s">
        <v>623</v>
      </c>
      <c r="I35" s="15"/>
      <c r="J35" s="15"/>
      <c r="K35" s="15"/>
      <c r="L35" s="15"/>
      <c r="M35" s="18"/>
      <c r="N35" s="15"/>
      <c r="O35" s="18"/>
      <c r="P35" s="168"/>
      <c r="Q35" s="168"/>
      <c r="R35" s="15"/>
      <c r="S35" s="18"/>
      <c r="T35" s="18"/>
      <c r="U35" s="18"/>
      <c r="V35" s="18"/>
      <c r="W35" s="18"/>
      <c r="X35" s="15"/>
      <c r="Y35" s="15"/>
      <c r="Z35" s="15"/>
      <c r="AA35" s="15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14"/>
    </row>
    <row r="36" spans="1:45" ht="18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8"/>
      <c r="O36" s="91"/>
      <c r="P36" s="91"/>
      <c r="Q36" s="91"/>
      <c r="R36" s="91"/>
      <c r="S36" s="91"/>
      <c r="T36" s="15"/>
      <c r="U36" s="15"/>
      <c r="V36" s="15"/>
      <c r="W36" s="15"/>
      <c r="X36" s="15"/>
      <c r="Y36" s="15"/>
      <c r="Z36" s="15"/>
      <c r="AA36" s="15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14"/>
    </row>
    <row r="37" spans="1:45" ht="18" customHeight="1">
      <c r="A37" s="15"/>
      <c r="B37" s="15"/>
      <c r="C37" s="64" t="s">
        <v>558</v>
      </c>
      <c r="D37" s="6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14"/>
    </row>
    <row r="38" spans="1:45" ht="18" customHeight="1">
      <c r="A38" s="15"/>
      <c r="B38" s="15"/>
      <c r="C38" s="15"/>
      <c r="D38" s="15"/>
      <c r="E38" s="15"/>
      <c r="F38" s="64" t="s">
        <v>549</v>
      </c>
      <c r="G38" s="15"/>
      <c r="H38" s="15"/>
      <c r="I38" s="15"/>
      <c r="J38" s="15"/>
      <c r="K38" s="15"/>
      <c r="L38" s="15"/>
      <c r="M38" s="15"/>
      <c r="N38" s="18" t="s">
        <v>559</v>
      </c>
      <c r="O38" s="15"/>
      <c r="P38" s="550">
        <v>7</v>
      </c>
      <c r="Q38" s="551"/>
      <c r="R38" s="551"/>
      <c r="S38" s="551"/>
      <c r="T38" s="551"/>
      <c r="U38" s="15" t="s">
        <v>625</v>
      </c>
      <c r="V38" s="15"/>
      <c r="W38" s="15"/>
      <c r="X38" s="15"/>
      <c r="Y38" s="15"/>
      <c r="Z38" s="15"/>
      <c r="AA38" s="15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14"/>
    </row>
    <row r="39" spans="1:45" ht="18" customHeight="1">
      <c r="A39" s="15"/>
      <c r="B39" s="15"/>
      <c r="C39" s="15"/>
      <c r="D39" s="15"/>
      <c r="E39" s="15"/>
      <c r="F39" s="37" t="s">
        <v>626</v>
      </c>
      <c r="G39" s="15"/>
      <c r="H39" s="15"/>
      <c r="I39" s="15"/>
      <c r="J39" s="15"/>
      <c r="K39" s="15"/>
      <c r="L39" s="15"/>
      <c r="M39" s="15" t="s">
        <v>237</v>
      </c>
      <c r="N39" s="15"/>
      <c r="O39" s="161"/>
      <c r="P39" s="552">
        <v>4900</v>
      </c>
      <c r="Q39" s="553"/>
      <c r="R39" s="553"/>
      <c r="S39" s="553"/>
      <c r="T39" s="553"/>
      <c r="U39" s="15" t="s">
        <v>627</v>
      </c>
      <c r="V39" s="15"/>
      <c r="W39" s="15"/>
      <c r="X39" s="15"/>
      <c r="Y39" s="15"/>
      <c r="Z39" s="15"/>
      <c r="AA39" s="15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14"/>
    </row>
    <row r="40" spans="1:45" ht="18" customHeight="1">
      <c r="A40" s="15"/>
      <c r="B40" s="15"/>
      <c r="C40" s="15"/>
      <c r="D40" s="15"/>
      <c r="E40" s="15"/>
      <c r="F40" s="64"/>
      <c r="G40" s="15"/>
      <c r="H40" s="15"/>
      <c r="I40" s="15"/>
      <c r="J40" s="15"/>
      <c r="K40" s="15"/>
      <c r="L40" s="15"/>
      <c r="M40" s="15" t="s">
        <v>238</v>
      </c>
      <c r="N40" s="15"/>
      <c r="O40" s="161"/>
      <c r="P40" s="552">
        <v>3430</v>
      </c>
      <c r="Q40" s="553"/>
      <c r="R40" s="553"/>
      <c r="S40" s="553"/>
      <c r="T40" s="553"/>
      <c r="U40" s="15" t="s">
        <v>627</v>
      </c>
      <c r="V40" s="15"/>
      <c r="W40" s="15"/>
      <c r="X40" s="15"/>
      <c r="Y40" s="15"/>
      <c r="Z40" s="15"/>
      <c r="AA40" s="15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14"/>
    </row>
    <row r="41" spans="1:45" ht="18" customHeight="1">
      <c r="A41" s="15"/>
      <c r="B41" s="15"/>
      <c r="C41" s="15"/>
      <c r="D41" s="15"/>
      <c r="E41" s="15"/>
      <c r="F41" s="64" t="s">
        <v>628</v>
      </c>
      <c r="G41" s="15"/>
      <c r="H41" s="15"/>
      <c r="I41" s="15"/>
      <c r="J41" s="15"/>
      <c r="K41" s="15" t="s">
        <v>560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14"/>
    </row>
    <row r="42" spans="1:45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 t="s">
        <v>561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14"/>
    </row>
    <row r="43" spans="1:45" ht="18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 t="s">
        <v>237</v>
      </c>
      <c r="N43" s="15"/>
      <c r="O43" s="15"/>
      <c r="P43" s="546">
        <v>14.7</v>
      </c>
      <c r="Q43" s="547"/>
      <c r="R43" s="547"/>
      <c r="S43" s="547"/>
      <c r="T43" s="547"/>
      <c r="U43" s="15" t="s">
        <v>629</v>
      </c>
      <c r="V43" s="15"/>
      <c r="W43" s="66"/>
      <c r="X43" s="66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14"/>
    </row>
    <row r="44" spans="1:45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 t="s">
        <v>238</v>
      </c>
      <c r="N44" s="15"/>
      <c r="O44" s="15"/>
      <c r="P44" s="547">
        <v>9.81</v>
      </c>
      <c r="Q44" s="547"/>
      <c r="R44" s="547"/>
      <c r="S44" s="547"/>
      <c r="T44" s="547"/>
      <c r="U44" s="15" t="s">
        <v>629</v>
      </c>
      <c r="V44" s="15"/>
      <c r="W44" s="66"/>
      <c r="X44" s="66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14"/>
    </row>
    <row r="45" spans="1:45" ht="18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445"/>
      <c r="Q45" s="445"/>
      <c r="R45" s="445"/>
      <c r="S45" s="445"/>
      <c r="T45" s="445"/>
      <c r="U45" s="15"/>
      <c r="V45" s="15"/>
      <c r="W45" s="66"/>
      <c r="X45" s="66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14"/>
    </row>
    <row r="46" spans="1:45" ht="18" customHeight="1">
      <c r="A46" s="15"/>
      <c r="B46" s="15"/>
      <c r="C46" s="15" t="s">
        <v>630</v>
      </c>
      <c r="D46" s="15"/>
      <c r="E46" s="15"/>
      <c r="F46" s="15"/>
      <c r="G46" s="15"/>
      <c r="H46" s="15"/>
      <c r="I46" s="570" t="s">
        <v>631</v>
      </c>
      <c r="J46" s="570"/>
      <c r="K46" s="570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14"/>
    </row>
    <row r="47" spans="1:45" ht="18" customHeight="1">
      <c r="A47" s="15"/>
      <c r="B47" s="15"/>
      <c r="C47" s="15"/>
      <c r="D47" s="15"/>
      <c r="E47" s="15"/>
      <c r="F47" s="64" t="s">
        <v>549</v>
      </c>
      <c r="G47" s="15"/>
      <c r="H47" s="15"/>
      <c r="I47" s="15"/>
      <c r="J47" s="15"/>
      <c r="K47" s="15"/>
      <c r="L47" s="15"/>
      <c r="M47" s="15"/>
      <c r="N47" s="18" t="s">
        <v>559</v>
      </c>
      <c r="O47" s="15"/>
      <c r="P47" s="557">
        <f>VLOOKUP($I$46,$AC$52:$AI$53,3,FALSE)</f>
        <v>0.0631</v>
      </c>
      <c r="Q47" s="557"/>
      <c r="R47" s="557"/>
      <c r="S47" s="558"/>
      <c r="T47" s="558"/>
      <c r="U47" s="15" t="s">
        <v>540</v>
      </c>
      <c r="V47" s="15"/>
      <c r="W47" s="15"/>
      <c r="X47" s="15"/>
      <c r="Y47" s="15"/>
      <c r="Z47" s="15"/>
      <c r="AA47" s="15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14"/>
    </row>
    <row r="48" spans="1:45" ht="17.25" customHeight="1">
      <c r="A48" s="15"/>
      <c r="B48" s="15"/>
      <c r="C48" s="15"/>
      <c r="D48" s="15"/>
      <c r="E48" s="15"/>
      <c r="F48" s="64" t="s">
        <v>562</v>
      </c>
      <c r="G48" s="15"/>
      <c r="H48" s="15"/>
      <c r="I48" s="15"/>
      <c r="J48" s="15"/>
      <c r="K48" s="15"/>
      <c r="L48" s="15"/>
      <c r="M48" s="15"/>
      <c r="N48" s="18" t="s">
        <v>563</v>
      </c>
      <c r="O48" s="15"/>
      <c r="P48" s="559">
        <f>VLOOKUP($I$46,$AC$52:$AI$53,2,FALSE)</f>
        <v>3.2</v>
      </c>
      <c r="Q48" s="559"/>
      <c r="R48" s="559"/>
      <c r="S48" s="544"/>
      <c r="T48" s="544"/>
      <c r="U48" s="15" t="s">
        <v>564</v>
      </c>
      <c r="V48" s="15"/>
      <c r="W48" s="15"/>
      <c r="X48" s="15"/>
      <c r="Y48" s="15"/>
      <c r="Z48" s="15"/>
      <c r="AA48" s="15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14"/>
    </row>
    <row r="49" spans="1:45" ht="18" customHeight="1">
      <c r="A49" s="15"/>
      <c r="B49" s="15"/>
      <c r="C49" s="15"/>
      <c r="D49" s="15"/>
      <c r="E49" s="15"/>
      <c r="F49" s="15" t="s">
        <v>557</v>
      </c>
      <c r="G49" s="15"/>
      <c r="H49" s="15"/>
      <c r="I49" s="15"/>
      <c r="J49" s="15"/>
      <c r="K49" s="15"/>
      <c r="L49" s="15"/>
      <c r="M49" s="15"/>
      <c r="N49" s="18" t="s">
        <v>565</v>
      </c>
      <c r="O49" s="15"/>
      <c r="P49" s="568">
        <f>VLOOKUP($I$46,$AC$52:$AI$53,4,FALSE)</f>
        <v>8.03</v>
      </c>
      <c r="Q49" s="568"/>
      <c r="R49" s="568"/>
      <c r="S49" s="554"/>
      <c r="T49" s="554"/>
      <c r="U49" s="15" t="s">
        <v>632</v>
      </c>
      <c r="V49" s="15"/>
      <c r="W49" s="15"/>
      <c r="X49" s="15"/>
      <c r="Y49" s="15"/>
      <c r="Z49" s="15"/>
      <c r="AA49" s="15"/>
      <c r="AB49" s="38"/>
      <c r="AC49" s="41" t="s">
        <v>595</v>
      </c>
      <c r="AD49" s="41" t="s">
        <v>117</v>
      </c>
      <c r="AE49" s="41" t="s">
        <v>118</v>
      </c>
      <c r="AF49" s="41" t="s">
        <v>119</v>
      </c>
      <c r="AG49" s="41" t="s">
        <v>120</v>
      </c>
      <c r="AH49" s="41" t="s">
        <v>121</v>
      </c>
      <c r="AI49" s="41" t="s">
        <v>122</v>
      </c>
      <c r="AJ49" s="38"/>
      <c r="AK49" s="38"/>
      <c r="AL49" s="38"/>
      <c r="AM49" s="38"/>
      <c r="AN49" s="38"/>
      <c r="AO49" s="38"/>
      <c r="AP49" s="38"/>
      <c r="AQ49" s="38"/>
      <c r="AR49" s="38"/>
      <c r="AS49" s="14"/>
    </row>
    <row r="50" spans="1:45" ht="18" customHeight="1">
      <c r="A50" s="15"/>
      <c r="B50" s="15"/>
      <c r="C50" s="15"/>
      <c r="D50" s="15"/>
      <c r="E50" s="15"/>
      <c r="F50" s="64" t="s">
        <v>566</v>
      </c>
      <c r="G50" s="15"/>
      <c r="H50" s="15"/>
      <c r="I50" s="15"/>
      <c r="J50" s="15"/>
      <c r="K50" s="15"/>
      <c r="L50" s="15"/>
      <c r="M50" s="15"/>
      <c r="N50" s="18" t="s">
        <v>567</v>
      </c>
      <c r="O50" s="581">
        <f>VLOOKUP($I$46,$AC$52:$AI$53,5,FALSE)</f>
        <v>2090</v>
      </c>
      <c r="P50" s="581"/>
      <c r="Q50" s="582"/>
      <c r="R50" s="18" t="s">
        <v>633</v>
      </c>
      <c r="S50" s="581">
        <f>VLOOKUP($I$46,$AC$52:$AI$53,7,FALSE)</f>
        <v>4740</v>
      </c>
      <c r="T50" s="582"/>
      <c r="U50" s="582"/>
      <c r="V50" s="15" t="s">
        <v>503</v>
      </c>
      <c r="W50" s="15"/>
      <c r="X50" s="15"/>
      <c r="Y50" s="15"/>
      <c r="Z50" s="161"/>
      <c r="AA50" s="15"/>
      <c r="AB50" s="38"/>
      <c r="AC50" s="421" t="s">
        <v>634</v>
      </c>
      <c r="AD50" s="421" t="s">
        <v>128</v>
      </c>
      <c r="AE50" s="446" t="s">
        <v>109</v>
      </c>
      <c r="AF50" s="421" t="s">
        <v>133</v>
      </c>
      <c r="AG50" s="447" t="s">
        <v>635</v>
      </c>
      <c r="AH50" s="448"/>
      <c r="AI50" s="449"/>
      <c r="AJ50" s="321"/>
      <c r="AK50" s="321"/>
      <c r="AL50" s="321"/>
      <c r="AM50" s="38"/>
      <c r="AN50" s="38"/>
      <c r="AO50" s="38"/>
      <c r="AP50" s="38"/>
      <c r="AQ50" s="38"/>
      <c r="AR50" s="38"/>
      <c r="AS50" s="14"/>
    </row>
    <row r="51" spans="1:45" ht="18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38"/>
      <c r="AC51" s="44" t="s">
        <v>636</v>
      </c>
      <c r="AD51" s="44" t="s">
        <v>637</v>
      </c>
      <c r="AE51" s="431" t="s">
        <v>638</v>
      </c>
      <c r="AF51" s="44" t="s">
        <v>639</v>
      </c>
      <c r="AG51" s="45" t="s">
        <v>640</v>
      </c>
      <c r="AH51" s="450"/>
      <c r="AI51" s="451"/>
      <c r="AJ51" s="321"/>
      <c r="AK51" s="321"/>
      <c r="AL51" s="321"/>
      <c r="AM51" s="38"/>
      <c r="AN51" s="38"/>
      <c r="AO51" s="38"/>
      <c r="AP51" s="38"/>
      <c r="AQ51" s="38"/>
      <c r="AR51" s="38"/>
      <c r="AS51" s="14"/>
    </row>
    <row r="52" spans="1:45" ht="18" customHeight="1">
      <c r="A52" s="15"/>
      <c r="B52" s="15"/>
      <c r="C52" s="15" t="s">
        <v>641</v>
      </c>
      <c r="D52" s="15"/>
      <c r="E52" s="15"/>
      <c r="F52" s="15"/>
      <c r="G52" s="15"/>
      <c r="H52" s="15" t="s">
        <v>642</v>
      </c>
      <c r="I52" s="15"/>
      <c r="J52" s="570" t="s">
        <v>568</v>
      </c>
      <c r="K52" s="570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38"/>
      <c r="AC52" s="260" t="s">
        <v>631</v>
      </c>
      <c r="AD52" s="452">
        <v>3.2</v>
      </c>
      <c r="AE52" s="453">
        <v>0.0631</v>
      </c>
      <c r="AF52" s="454">
        <v>8.03</v>
      </c>
      <c r="AG52" s="455">
        <v>2090</v>
      </c>
      <c r="AH52" s="456" t="s">
        <v>633</v>
      </c>
      <c r="AI52" s="457">
        <v>4740</v>
      </c>
      <c r="AJ52" s="433"/>
      <c r="AK52" s="433"/>
      <c r="AL52" s="321"/>
      <c r="AM52" s="38"/>
      <c r="AN52" s="38"/>
      <c r="AO52" s="38"/>
      <c r="AP52" s="38"/>
      <c r="AQ52" s="38"/>
      <c r="AR52" s="38"/>
      <c r="AS52" s="14"/>
    </row>
    <row r="53" spans="1:45" ht="18" customHeight="1">
      <c r="A53" s="15"/>
      <c r="B53" s="15"/>
      <c r="C53" s="15"/>
      <c r="D53" s="15"/>
      <c r="E53" s="15"/>
      <c r="F53" s="64" t="s">
        <v>549</v>
      </c>
      <c r="G53" s="15"/>
      <c r="H53" s="15"/>
      <c r="I53" s="15"/>
      <c r="J53" s="15"/>
      <c r="K53" s="15"/>
      <c r="L53" s="15"/>
      <c r="M53" s="15"/>
      <c r="N53" s="18" t="s">
        <v>559</v>
      </c>
      <c r="O53" s="15"/>
      <c r="P53" s="555">
        <f>VLOOKUP($J$52,$AC$58:$AE$61,2,FALSE)</f>
        <v>94</v>
      </c>
      <c r="Q53" s="556"/>
      <c r="R53" s="556"/>
      <c r="S53" s="556"/>
      <c r="T53" s="556"/>
      <c r="U53" s="15" t="s">
        <v>643</v>
      </c>
      <c r="V53" s="15"/>
      <c r="W53" s="15"/>
      <c r="X53" s="15"/>
      <c r="Y53" s="15"/>
      <c r="Z53" s="15"/>
      <c r="AA53" s="15"/>
      <c r="AB53" s="38"/>
      <c r="AC53" s="260" t="s">
        <v>644</v>
      </c>
      <c r="AD53" s="452">
        <v>4</v>
      </c>
      <c r="AE53" s="453">
        <v>0.0987</v>
      </c>
      <c r="AF53" s="458">
        <v>12.56</v>
      </c>
      <c r="AG53" s="455">
        <v>3270</v>
      </c>
      <c r="AH53" s="456" t="s">
        <v>633</v>
      </c>
      <c r="AI53" s="457">
        <v>7410</v>
      </c>
      <c r="AJ53" s="433"/>
      <c r="AK53" s="433"/>
      <c r="AL53" s="321"/>
      <c r="AM53" s="38"/>
      <c r="AN53" s="38"/>
      <c r="AO53" s="38"/>
      <c r="AP53" s="38"/>
      <c r="AQ53" s="38"/>
      <c r="AR53" s="38"/>
      <c r="AS53" s="14"/>
    </row>
    <row r="54" spans="1:45" ht="18" customHeight="1">
      <c r="A54" s="3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14"/>
    </row>
    <row r="55" spans="1:45" ht="18" customHeight="1">
      <c r="A55" s="15"/>
      <c r="C55" s="15" t="s">
        <v>725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38"/>
      <c r="AC55" s="41" t="s">
        <v>595</v>
      </c>
      <c r="AD55" s="567" t="s">
        <v>117</v>
      </c>
      <c r="AE55" s="567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14"/>
    </row>
    <row r="56" spans="1:45" ht="18" customHeight="1">
      <c r="A56" s="15"/>
      <c r="Z56" s="15"/>
      <c r="AA56" s="15"/>
      <c r="AB56" s="38"/>
      <c r="AC56" s="421" t="s">
        <v>646</v>
      </c>
      <c r="AD56" s="565" t="s">
        <v>109</v>
      </c>
      <c r="AE56" s="566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14"/>
    </row>
    <row r="57" spans="1:45" ht="18" customHeight="1">
      <c r="A57" s="15"/>
      <c r="E57" s="543" t="s">
        <v>726</v>
      </c>
      <c r="R57" s="2" t="s">
        <v>727</v>
      </c>
      <c r="Z57" s="15"/>
      <c r="AA57" s="15"/>
      <c r="AB57" s="38"/>
      <c r="AC57" s="44" t="s">
        <v>648</v>
      </c>
      <c r="AD57" s="563" t="s">
        <v>649</v>
      </c>
      <c r="AE57" s="564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14"/>
    </row>
    <row r="58" spans="1:45" ht="18" customHeight="1">
      <c r="A58" s="15"/>
      <c r="E58" s="543"/>
      <c r="H58" s="537" t="s">
        <v>728</v>
      </c>
      <c r="I58" s="537"/>
      <c r="J58" s="537"/>
      <c r="P58" s="538">
        <v>500</v>
      </c>
      <c r="S58" s="2" t="s">
        <v>729</v>
      </c>
      <c r="Z58" s="15"/>
      <c r="AA58" s="15"/>
      <c r="AB58" s="38"/>
      <c r="AC58" s="260" t="s">
        <v>650</v>
      </c>
      <c r="AD58" s="577">
        <v>94</v>
      </c>
      <c r="AE58" s="57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14"/>
    </row>
    <row r="59" spans="1:45" ht="18" customHeight="1">
      <c r="A59" s="36"/>
      <c r="B59" s="36"/>
      <c r="C59" s="36"/>
      <c r="D59" s="36"/>
      <c r="E59" s="543"/>
      <c r="F59" s="36"/>
      <c r="G59" s="36"/>
      <c r="H59" s="36"/>
      <c r="I59" s="36"/>
      <c r="J59" s="36"/>
      <c r="K59" s="36"/>
      <c r="L59" s="36"/>
      <c r="M59" s="36" t="s">
        <v>730</v>
      </c>
      <c r="N59" s="36"/>
      <c r="O59" s="36"/>
      <c r="P59" s="538"/>
      <c r="Q59" s="36"/>
      <c r="R59" s="36"/>
      <c r="S59" s="36" t="s">
        <v>731</v>
      </c>
      <c r="T59" s="36"/>
      <c r="U59" s="36"/>
      <c r="V59" s="36"/>
      <c r="W59" s="36"/>
      <c r="X59" s="36"/>
      <c r="Y59" s="36"/>
      <c r="Z59" s="36"/>
      <c r="AA59" s="36"/>
      <c r="AB59" s="38"/>
      <c r="AC59" s="260" t="s">
        <v>651</v>
      </c>
      <c r="AD59" s="577"/>
      <c r="AE59" s="57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14"/>
    </row>
    <row r="60" spans="1:45" ht="18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539">
        <v>70</v>
      </c>
      <c r="O60" s="36"/>
      <c r="P60" s="538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8"/>
      <c r="AC60" s="260" t="s">
        <v>651</v>
      </c>
      <c r="AD60" s="577"/>
      <c r="AE60" s="57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14"/>
    </row>
    <row r="61" spans="1:45" ht="18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539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8"/>
      <c r="AC61" s="260" t="s">
        <v>651</v>
      </c>
      <c r="AD61" s="577"/>
      <c r="AE61" s="57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14"/>
    </row>
    <row r="62" spans="1:45" ht="18" customHeight="1">
      <c r="A62" s="36"/>
      <c r="B62" s="36"/>
      <c r="C62" s="36"/>
      <c r="D62" s="36"/>
      <c r="E62" s="36"/>
      <c r="F62" s="36"/>
      <c r="G62" s="36"/>
      <c r="H62" s="540" t="s">
        <v>732</v>
      </c>
      <c r="I62" s="540"/>
      <c r="J62" s="540"/>
      <c r="K62" s="36"/>
      <c r="L62" s="492">
        <v>50</v>
      </c>
      <c r="M62" s="36"/>
      <c r="N62" s="539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14"/>
    </row>
    <row r="63" spans="1:45" ht="18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14"/>
    </row>
    <row r="64" spans="1:45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</row>
    <row r="65" spans="1:45" ht="18" customHeight="1">
      <c r="A65" s="14"/>
      <c r="B65" s="14"/>
      <c r="C65" s="14"/>
      <c r="D65" s="14"/>
      <c r="E65" s="14"/>
      <c r="F65" s="14"/>
      <c r="G65" s="14"/>
      <c r="H65" s="14"/>
      <c r="I65" s="14"/>
      <c r="J65" s="14" t="s">
        <v>733</v>
      </c>
      <c r="K65" s="14"/>
      <c r="L65" s="496" t="str">
        <f>'吊り用チン'!L14</f>
        <v>SR235</v>
      </c>
      <c r="M65" s="496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</row>
    <row r="66" spans="10:45" ht="18" customHeight="1">
      <c r="J66" s="2" t="s">
        <v>128</v>
      </c>
      <c r="L66" s="484" t="str">
        <f>'吊り用チン'!L15</f>
        <v>D16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spans="28:45" ht="18" customHeight="1"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</row>
    <row r="68" spans="10:45" ht="18" customHeight="1">
      <c r="J68" s="15" t="s">
        <v>736</v>
      </c>
      <c r="K68" s="15"/>
      <c r="L68" s="15"/>
      <c r="M68" s="15"/>
      <c r="N68" s="588" t="s">
        <v>734</v>
      </c>
      <c r="O68" s="588"/>
      <c r="P68" s="581">
        <f>'吊り用チン'!AL15</f>
        <v>46000</v>
      </c>
      <c r="Q68" s="581"/>
      <c r="R68" s="542"/>
      <c r="S68" s="15" t="s">
        <v>735</v>
      </c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</row>
    <row r="69" spans="28:45" ht="18" customHeight="1"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</row>
    <row r="70" spans="28:45" ht="18" customHeight="1"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</row>
    <row r="71" spans="28:45" ht="18" customHeight="1"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</row>
    <row r="72" spans="28:45" ht="18" customHeight="1"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</row>
    <row r="73" spans="25:45" ht="18" customHeight="1">
      <c r="Y73" s="15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</row>
    <row r="74" spans="2:45" ht="18" customHeight="1">
      <c r="B74" s="15" t="s">
        <v>569</v>
      </c>
      <c r="C74" s="15"/>
      <c r="D74" s="15"/>
      <c r="E74" s="15"/>
      <c r="F74" s="15" t="s">
        <v>645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</row>
    <row r="75" spans="2:24" ht="18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 t="s">
        <v>647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</sheetData>
  <sheetProtection sheet="1" objects="1" scenarios="1"/>
  <mergeCells count="87">
    <mergeCell ref="N68:O68"/>
    <mergeCell ref="P68:R68"/>
    <mergeCell ref="E57:E59"/>
    <mergeCell ref="H58:J58"/>
    <mergeCell ref="P58:P60"/>
    <mergeCell ref="N60:N62"/>
    <mergeCell ref="H62:J62"/>
    <mergeCell ref="P24:T24"/>
    <mergeCell ref="U4:V4"/>
    <mergeCell ref="P40:T40"/>
    <mergeCell ref="AI4:AI5"/>
    <mergeCell ref="P15:T15"/>
    <mergeCell ref="P16:T16"/>
    <mergeCell ref="P25:T25"/>
    <mergeCell ref="P43:T43"/>
    <mergeCell ref="P44:T44"/>
    <mergeCell ref="AC4:AC5"/>
    <mergeCell ref="P38:T38"/>
    <mergeCell ref="P39:T39"/>
    <mergeCell ref="P19:T19"/>
    <mergeCell ref="P20:T20"/>
    <mergeCell ref="L23:R23"/>
    <mergeCell ref="M8:N8"/>
    <mergeCell ref="M9:N9"/>
    <mergeCell ref="AJ4:AJ5"/>
    <mergeCell ref="AD4:AD5"/>
    <mergeCell ref="AE4:AE5"/>
    <mergeCell ref="AF4:AF5"/>
    <mergeCell ref="AG4:AG5"/>
    <mergeCell ref="AH4:AH5"/>
    <mergeCell ref="I46:K46"/>
    <mergeCell ref="AD57:AE57"/>
    <mergeCell ref="AD58:AE58"/>
    <mergeCell ref="J52:K52"/>
    <mergeCell ref="AD56:AE56"/>
    <mergeCell ref="AD55:AE55"/>
    <mergeCell ref="P49:T49"/>
    <mergeCell ref="P53:T53"/>
    <mergeCell ref="P47:T47"/>
    <mergeCell ref="P48:T48"/>
    <mergeCell ref="AD60:AE60"/>
    <mergeCell ref="AD61:AE61"/>
    <mergeCell ref="AG31:AH31"/>
    <mergeCell ref="AG32:AH32"/>
    <mergeCell ref="AE33:AF33"/>
    <mergeCell ref="AG33:AH33"/>
    <mergeCell ref="AE34:AF34"/>
    <mergeCell ref="AG34:AH34"/>
    <mergeCell ref="AE32:AF32"/>
    <mergeCell ref="M14:N14"/>
    <mergeCell ref="AD59:AE59"/>
    <mergeCell ref="P8:T8"/>
    <mergeCell ref="P9:T9"/>
    <mergeCell ref="N13:T13"/>
    <mergeCell ref="P14:T14"/>
    <mergeCell ref="O50:Q50"/>
    <mergeCell ref="S50:U50"/>
    <mergeCell ref="M15:N15"/>
    <mergeCell ref="M16:N16"/>
    <mergeCell ref="M17:N17"/>
    <mergeCell ref="M18:N18"/>
    <mergeCell ref="M20:N20"/>
    <mergeCell ref="AE31:AF31"/>
    <mergeCell ref="P17:T17"/>
    <mergeCell ref="P18:T18"/>
    <mergeCell ref="AC31:AC32"/>
    <mergeCell ref="M19:N19"/>
    <mergeCell ref="M24:N24"/>
    <mergeCell ref="M25:N25"/>
    <mergeCell ref="M26:N26"/>
    <mergeCell ref="P26:T26"/>
    <mergeCell ref="H4:L4"/>
    <mergeCell ref="P5:T5"/>
    <mergeCell ref="P6:T6"/>
    <mergeCell ref="P7:T7"/>
    <mergeCell ref="M6:N6"/>
    <mergeCell ref="M7:N7"/>
    <mergeCell ref="M5:N5"/>
    <mergeCell ref="P4:R4"/>
    <mergeCell ref="M27:N27"/>
    <mergeCell ref="P27:T27"/>
    <mergeCell ref="M28:N28"/>
    <mergeCell ref="P28:T28"/>
    <mergeCell ref="M29:N29"/>
    <mergeCell ref="P29:T29"/>
    <mergeCell ref="M30:N30"/>
    <mergeCell ref="P30:T30"/>
  </mergeCells>
  <dataValidations count="4">
    <dataValidation type="list" allowBlank="1" showInputMessage="1" showErrorMessage="1" sqref="H4:L4">
      <formula1>$AC$19:$AC$23</formula1>
    </dataValidation>
    <dataValidation type="list" allowBlank="1" showInputMessage="1" showErrorMessage="1" sqref="N13:T13 L23:R23">
      <formula1>$AC$7:$AC$13</formula1>
    </dataValidation>
    <dataValidation type="list" allowBlank="1" showInputMessage="1" showErrorMessage="1" sqref="I46:K46">
      <formula1>$AC$52:$AC$53</formula1>
    </dataValidation>
    <dataValidation type="list" allowBlank="1" showInputMessage="1" showErrorMessage="1" sqref="J52:K52">
      <formula1>$AC$58:$AC$61</formula1>
    </dataValidation>
  </dataValidations>
  <printOptions/>
  <pageMargins left="0.7874015748031497" right="0.3937007874015748" top="0.78" bottom="0.77" header="0.43" footer="0.11811023622047245"/>
  <pageSetup horizontalDpi="300" verticalDpi="300" orientation="portrait" paperSize="9" r:id="rId2"/>
  <rowBreaks count="1" manualBreakCount="1">
    <brk id="45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1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1" width="3.09765625" style="2" customWidth="1"/>
    <col min="32" max="32" width="21.19921875" style="2" customWidth="1"/>
    <col min="33" max="33" width="5.19921875" style="2" customWidth="1"/>
    <col min="34" max="34" width="10.69921875" style="2" customWidth="1"/>
    <col min="35" max="35" width="9.5" style="2" customWidth="1"/>
    <col min="36" max="36" width="9.3984375" style="2" customWidth="1"/>
    <col min="37" max="37" width="9" style="2" customWidth="1"/>
    <col min="38" max="39" width="8.59765625" style="2" customWidth="1"/>
    <col min="40" max="40" width="12" style="2" customWidth="1"/>
    <col min="41" max="41" width="8.8984375" style="2" customWidth="1"/>
    <col min="42" max="42" width="9.09765625" style="2" customWidth="1"/>
    <col min="43" max="43" width="6.3984375" style="2" customWidth="1"/>
    <col min="44" max="45" width="5.59765625" style="2" customWidth="1"/>
    <col min="46" max="48" width="6.69921875" style="2" customWidth="1"/>
    <col min="49" max="49" width="1.203125" style="2" customWidth="1"/>
    <col min="50" max="16384" width="6.69921875" style="2" customWidth="1"/>
  </cols>
  <sheetData>
    <row r="1" ht="23.25" customHeight="1">
      <c r="B1" s="488" t="s">
        <v>723</v>
      </c>
    </row>
    <row r="2" spans="1:57" ht="18" customHeight="1">
      <c r="A2" s="36"/>
      <c r="B2" s="485" t="s">
        <v>711</v>
      </c>
      <c r="C2" s="3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15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8" customHeight="1">
      <c r="A3" s="38"/>
      <c r="B3" s="38"/>
      <c r="C3" s="38"/>
      <c r="D3" s="471"/>
      <c r="E3" s="471"/>
      <c r="F3" s="471"/>
      <c r="G3" s="471"/>
      <c r="H3" s="471"/>
      <c r="I3" s="471"/>
      <c r="J3" s="471"/>
      <c r="K3" s="471"/>
      <c r="L3" s="472"/>
      <c r="M3" s="472"/>
      <c r="N3" s="472"/>
      <c r="O3" s="472"/>
      <c r="P3" s="472"/>
      <c r="Q3" s="472"/>
      <c r="R3" s="472"/>
      <c r="S3" s="472"/>
      <c r="T3" s="471"/>
      <c r="U3" s="471"/>
      <c r="V3" s="471"/>
      <c r="W3" s="471"/>
      <c r="X3" s="471"/>
      <c r="Y3" s="471"/>
      <c r="Z3" s="471"/>
      <c r="AA3" s="471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ht="18" customHeight="1">
      <c r="A4" s="14"/>
      <c r="B4" s="14"/>
      <c r="C4" s="14"/>
      <c r="D4" s="464"/>
      <c r="E4" s="464"/>
      <c r="F4" s="464"/>
      <c r="G4" s="463"/>
      <c r="H4" s="463"/>
      <c r="I4" s="463"/>
      <c r="J4" s="463"/>
      <c r="K4" s="463"/>
      <c r="L4" s="464"/>
      <c r="M4" s="464"/>
      <c r="N4" s="464"/>
      <c r="O4" s="464"/>
      <c r="P4" s="464"/>
      <c r="Q4" s="464"/>
      <c r="R4" s="464"/>
      <c r="S4" s="464"/>
      <c r="T4" s="463"/>
      <c r="U4" s="463"/>
      <c r="V4" s="463"/>
      <c r="W4" s="463"/>
      <c r="X4" s="463"/>
      <c r="Y4" s="463"/>
      <c r="Z4" s="464"/>
      <c r="AA4" s="464"/>
      <c r="AB4" s="14"/>
      <c r="AC4" s="14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ht="1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4"/>
      <c r="AE5" s="155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18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5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ht="18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ht="18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X8" s="14"/>
      <c r="Y8" s="14"/>
      <c r="Z8" s="14"/>
      <c r="AA8" s="14"/>
      <c r="AB8" s="14"/>
      <c r="AC8" s="14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18" customHeight="1">
      <c r="A9" s="14"/>
      <c r="B9" s="14"/>
      <c r="C9" s="14"/>
      <c r="D9" s="14"/>
      <c r="E9" s="14"/>
      <c r="F9" s="14"/>
      <c r="G9" s="14"/>
      <c r="H9" s="36" t="s">
        <v>98</v>
      </c>
      <c r="I9" s="36"/>
      <c r="J9" s="14"/>
      <c r="K9" s="14"/>
      <c r="L9" s="14"/>
      <c r="M9" s="14"/>
      <c r="N9" s="14"/>
      <c r="O9" s="14"/>
      <c r="P9" s="14"/>
      <c r="Q9" s="14"/>
      <c r="R9" s="14"/>
      <c r="S9" s="14"/>
      <c r="X9" s="14"/>
      <c r="Y9" s="14"/>
      <c r="Z9" s="14"/>
      <c r="AA9" s="14"/>
      <c r="AB9" s="14"/>
      <c r="AC9" s="14"/>
      <c r="AD9" s="38"/>
      <c r="AE9" s="38"/>
      <c r="AF9" s="344"/>
      <c r="AG9" s="344"/>
      <c r="AH9" s="344"/>
      <c r="AI9" s="344"/>
      <c r="AJ9" s="344"/>
      <c r="AK9" s="344"/>
      <c r="AL9" s="344"/>
      <c r="AM9" s="344"/>
      <c r="AN9" s="244"/>
      <c r="AO9" s="244"/>
      <c r="AP9" s="244"/>
      <c r="AQ9" s="244"/>
      <c r="AR9" s="244"/>
      <c r="AS9" s="244"/>
      <c r="AT9" s="38"/>
      <c r="AU9" s="38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ht="18" customHeight="1">
      <c r="A10" s="14"/>
      <c r="B10" s="14"/>
      <c r="C10" s="14"/>
      <c r="D10" s="14"/>
      <c r="E10" s="14"/>
      <c r="F10" s="14"/>
      <c r="G10" s="14"/>
      <c r="I10" s="484" t="str">
        <f>J27</f>
        <v>合板足場板</v>
      </c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36"/>
      <c r="U10" s="36"/>
      <c r="V10" s="36"/>
      <c r="W10" s="36"/>
      <c r="X10" s="13"/>
      <c r="Y10" s="14"/>
      <c r="Z10" s="14"/>
      <c r="AA10" s="14"/>
      <c r="AB10" s="14"/>
      <c r="AC10" s="14"/>
      <c r="AD10" s="38"/>
      <c r="AE10" s="38"/>
      <c r="AF10" s="643"/>
      <c r="AG10" s="628"/>
      <c r="AH10" s="628"/>
      <c r="AI10" s="628"/>
      <c r="AJ10" s="628"/>
      <c r="AK10" s="628"/>
      <c r="AL10" s="628"/>
      <c r="AM10" s="628"/>
      <c r="AN10" s="244"/>
      <c r="AO10" s="244"/>
      <c r="AP10" s="244"/>
      <c r="AQ10" s="244"/>
      <c r="AR10" s="244"/>
      <c r="AS10" s="244"/>
      <c r="AT10" s="38"/>
      <c r="AU10" s="38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ht="18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9"/>
      <c r="U11" s="637"/>
      <c r="V11" s="638"/>
      <c r="W11" s="13"/>
      <c r="X11" s="14"/>
      <c r="Y11" s="14"/>
      <c r="Z11" s="14"/>
      <c r="AA11" s="14"/>
      <c r="AB11" s="14"/>
      <c r="AC11" s="14"/>
      <c r="AD11" s="38"/>
      <c r="AE11" s="38"/>
      <c r="AF11" s="643"/>
      <c r="AG11" s="628"/>
      <c r="AH11" s="628"/>
      <c r="AI11" s="628"/>
      <c r="AJ11" s="628"/>
      <c r="AK11" s="628"/>
      <c r="AL11" s="628"/>
      <c r="AM11" s="628"/>
      <c r="AN11" s="244"/>
      <c r="AO11" s="244"/>
      <c r="AP11" s="244"/>
      <c r="AQ11" s="244"/>
      <c r="AR11" s="244"/>
      <c r="AS11" s="244"/>
      <c r="AT11" s="38"/>
      <c r="AU11" s="38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X12" s="14"/>
      <c r="Y12" s="14"/>
      <c r="Z12" s="14"/>
      <c r="AA12" s="14"/>
      <c r="AB12" s="14"/>
      <c r="AC12" s="14"/>
      <c r="AD12" s="38"/>
      <c r="AE12" s="38"/>
      <c r="AF12" s="244"/>
      <c r="AG12" s="3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38"/>
      <c r="AU12" s="38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38"/>
      <c r="AE13" s="38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38"/>
      <c r="AU13" s="38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8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38"/>
      <c r="AE14" s="38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38"/>
      <c r="AU14" s="38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8" customHeight="1">
      <c r="A15" s="14"/>
      <c r="B15" s="14"/>
      <c r="C15" s="14"/>
      <c r="D15" s="14"/>
      <c r="E15" s="40" t="s">
        <v>99</v>
      </c>
      <c r="F15" s="40"/>
      <c r="G15" s="40"/>
      <c r="H15" s="56" t="str">
        <f>$J$23</f>
        <v>□60×2.3(STKR400)</v>
      </c>
      <c r="I15" s="40"/>
      <c r="J15" s="40"/>
      <c r="K15" s="40"/>
      <c r="L15" s="57"/>
      <c r="M15" s="57"/>
      <c r="N15" s="14"/>
      <c r="O15" s="14"/>
      <c r="P15" s="14"/>
      <c r="Q15" s="14"/>
      <c r="AB15" s="14"/>
      <c r="AC15" s="14"/>
      <c r="AD15" s="38"/>
      <c r="AE15" s="38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38"/>
      <c r="AU15" s="38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8" customHeight="1">
      <c r="A16" s="14"/>
      <c r="B16" s="14"/>
      <c r="C16" s="14"/>
      <c r="G16" s="14"/>
      <c r="H16" s="158" t="s">
        <v>156</v>
      </c>
      <c r="I16" s="529">
        <f>M55</f>
        <v>900</v>
      </c>
      <c r="J16" s="529"/>
      <c r="K16" s="14"/>
      <c r="L16" s="153"/>
      <c r="M16" s="156"/>
      <c r="O16" s="14"/>
      <c r="P16" s="483"/>
      <c r="Q16" s="40" t="s">
        <v>155</v>
      </c>
      <c r="R16" s="40"/>
      <c r="S16" s="58" t="str">
        <f>$J$25</f>
        <v>φ48.6×2.4(STK500)</v>
      </c>
      <c r="T16" s="40"/>
      <c r="U16" s="38"/>
      <c r="V16" s="38"/>
      <c r="W16" s="38"/>
      <c r="X16" s="38"/>
      <c r="AB16" s="14"/>
      <c r="AC16" s="14"/>
      <c r="AD16" s="38"/>
      <c r="AE16" s="38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38"/>
      <c r="AU16" s="38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8" customHeight="1">
      <c r="A17" s="14"/>
      <c r="B17" s="14"/>
      <c r="C17" s="536">
        <f>'朝顔チェーン'!L66</f>
        <v>800</v>
      </c>
      <c r="D17" s="536"/>
      <c r="E17" s="490"/>
      <c r="F17" s="490"/>
      <c r="G17" s="14"/>
      <c r="H17" s="14"/>
      <c r="I17" s="14"/>
      <c r="J17" s="14"/>
      <c r="K17" s="14"/>
      <c r="O17" s="640"/>
      <c r="P17" s="640"/>
      <c r="Q17" s="641"/>
      <c r="R17" s="525"/>
      <c r="S17" s="525"/>
      <c r="T17" s="158" t="s">
        <v>156</v>
      </c>
      <c r="U17" s="529">
        <f>ころばし!M10</f>
        <v>2000</v>
      </c>
      <c r="V17" s="529"/>
      <c r="Z17" s="536">
        <f>'朝顔チェーン'!V17</f>
        <v>1500</v>
      </c>
      <c r="AA17" s="536"/>
      <c r="AB17" s="490"/>
      <c r="AC17" s="14"/>
      <c r="AD17" s="38"/>
      <c r="AE17" s="38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38"/>
      <c r="AU17" s="38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8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X18" s="14"/>
      <c r="Y18" s="14"/>
      <c r="Z18" s="14"/>
      <c r="AA18" s="14"/>
      <c r="AB18" s="14"/>
      <c r="AC18" s="14"/>
      <c r="AD18" s="38"/>
      <c r="AE18" s="38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38"/>
      <c r="AU18" s="38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8" customHeight="1">
      <c r="A19" s="3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X19" s="38"/>
      <c r="Y19" s="38"/>
      <c r="Z19" s="38"/>
      <c r="AA19" s="38"/>
      <c r="AB19" s="38"/>
      <c r="AC19" s="15"/>
      <c r="AD19" s="38"/>
      <c r="AE19" s="38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38"/>
      <c r="AU19" s="38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8" customHeight="1">
      <c r="A20" s="3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8"/>
      <c r="Q20" s="38"/>
      <c r="R20" s="38"/>
      <c r="S20" s="38"/>
      <c r="T20" s="473"/>
      <c r="U20" s="157"/>
      <c r="V20" s="38"/>
      <c r="W20" s="38"/>
      <c r="X20" s="157"/>
      <c r="Y20" s="38"/>
      <c r="Z20" s="38"/>
      <c r="AA20" s="38"/>
      <c r="AB20" s="38"/>
      <c r="AC20" s="15"/>
      <c r="AD20" s="38"/>
      <c r="AE20" s="38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38"/>
      <c r="AU20" s="38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8" customHeight="1">
      <c r="A21" s="38"/>
      <c r="B21" s="485" t="s">
        <v>712</v>
      </c>
      <c r="C21" s="3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15"/>
      <c r="AD21" s="38"/>
      <c r="AE21" s="38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38"/>
      <c r="AU21" s="38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8" customHeight="1">
      <c r="A22" s="38"/>
      <c r="AB22" s="38"/>
      <c r="AC22" s="15"/>
      <c r="AD22" s="38"/>
      <c r="AE22" s="38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244"/>
      <c r="AT22" s="38"/>
      <c r="AU22" s="38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8" customHeight="1">
      <c r="A23" s="66"/>
      <c r="B23" s="15"/>
      <c r="C23" s="15" t="s">
        <v>141</v>
      </c>
      <c r="D23" s="15"/>
      <c r="E23" s="15"/>
      <c r="F23" s="15" t="s">
        <v>99</v>
      </c>
      <c r="G23" s="15"/>
      <c r="H23" s="15"/>
      <c r="I23" s="18"/>
      <c r="J23" s="635" t="str">
        <f>'使用材一覧'!$N$13</f>
        <v>□60×2.3(STKR400)</v>
      </c>
      <c r="K23" s="636"/>
      <c r="L23" s="636"/>
      <c r="M23" s="636"/>
      <c r="N23" s="636"/>
      <c r="O23" s="636"/>
      <c r="P23" s="636"/>
      <c r="Q23" s="65"/>
      <c r="R23" s="542">
        <f>'使用材一覧'!$P$14</f>
        <v>40</v>
      </c>
      <c r="S23" s="542"/>
      <c r="T23" s="636"/>
      <c r="U23" s="582" t="s">
        <v>130</v>
      </c>
      <c r="V23" s="582"/>
      <c r="W23" s="38"/>
      <c r="AB23" s="66"/>
      <c r="AC23" s="66"/>
      <c r="AD23" s="38"/>
      <c r="AE23" s="38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4"/>
      <c r="AT23" s="38"/>
      <c r="AU23" s="38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8" customHeight="1">
      <c r="A24" s="38"/>
      <c r="AB24" s="38"/>
      <c r="AC24" s="15"/>
      <c r="AD24" s="38"/>
      <c r="AE24" s="38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4"/>
      <c r="AT24" s="38"/>
      <c r="AU24" s="38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8" customHeight="1">
      <c r="A25" s="38"/>
      <c r="B25" s="15"/>
      <c r="E25" s="66"/>
      <c r="F25" s="66" t="s">
        <v>155</v>
      </c>
      <c r="G25" s="66"/>
      <c r="H25" s="66"/>
      <c r="I25" s="66"/>
      <c r="J25" s="635" t="str">
        <f>'使用材一覧'!$L$23</f>
        <v>φ48.6×2.4(STK500)</v>
      </c>
      <c r="K25" s="636"/>
      <c r="L25" s="636"/>
      <c r="M25" s="636"/>
      <c r="N25" s="636"/>
      <c r="O25" s="636"/>
      <c r="P25" s="636"/>
      <c r="Q25" s="66"/>
      <c r="R25" s="542">
        <f>'使用材一覧'!$P$24</f>
        <v>27</v>
      </c>
      <c r="S25" s="542"/>
      <c r="T25" s="636"/>
      <c r="U25" s="582" t="s">
        <v>130</v>
      </c>
      <c r="V25" s="582"/>
      <c r="W25" s="38"/>
      <c r="X25" s="38"/>
      <c r="Y25" s="38"/>
      <c r="Z25" s="38"/>
      <c r="AA25" s="38"/>
      <c r="AB25" s="38"/>
      <c r="AC25" s="15"/>
      <c r="AD25" s="38"/>
      <c r="AE25" s="38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38"/>
      <c r="AU25" s="38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8" customHeight="1">
      <c r="A26" s="38"/>
      <c r="X26" s="38"/>
      <c r="Y26" s="38"/>
      <c r="Z26" s="38"/>
      <c r="AA26" s="38"/>
      <c r="AB26" s="38"/>
      <c r="AC26" s="15"/>
      <c r="AD26" s="38"/>
      <c r="AE26" s="38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38"/>
      <c r="AU26" s="38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8" customHeight="1">
      <c r="A27" s="38"/>
      <c r="B27" s="66"/>
      <c r="C27" s="66"/>
      <c r="D27" s="66"/>
      <c r="F27" s="15" t="s">
        <v>98</v>
      </c>
      <c r="G27" s="15"/>
      <c r="H27" s="15"/>
      <c r="I27" s="15"/>
      <c r="J27" s="635" t="str">
        <f>'使用材一覧'!$H$4</f>
        <v>合板足場板</v>
      </c>
      <c r="K27" s="590"/>
      <c r="L27" s="590"/>
      <c r="M27" s="590"/>
      <c r="N27" s="590"/>
      <c r="O27" s="590"/>
      <c r="P27" s="590"/>
      <c r="Q27" s="38"/>
      <c r="R27" s="542">
        <f>VLOOKUP($J$27,'使用材一覧'!$AC$19:$AO$23,7,FALSE)</f>
        <v>44</v>
      </c>
      <c r="S27" s="542"/>
      <c r="T27" s="636"/>
      <c r="U27" s="582" t="s">
        <v>148</v>
      </c>
      <c r="V27" s="582"/>
      <c r="W27" s="38"/>
      <c r="X27" s="556">
        <f>VLOOKUP($J$27,'使用材一覧'!$AC$19:$AO$23,8,FALSE)</f>
        <v>184</v>
      </c>
      <c r="Y27" s="556"/>
      <c r="Z27" s="582" t="s">
        <v>167</v>
      </c>
      <c r="AA27" s="582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38"/>
      <c r="AU27" s="38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8" customHeight="1">
      <c r="A28" s="38"/>
      <c r="B28" s="15"/>
      <c r="C28" s="15"/>
      <c r="D28" s="15"/>
      <c r="E28" s="15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38"/>
      <c r="AU28" s="38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8" customHeight="1">
      <c r="A29" s="38"/>
      <c r="B29" s="15"/>
      <c r="C29" s="15"/>
      <c r="D29" s="15"/>
      <c r="E29" s="15"/>
      <c r="F29" s="15"/>
      <c r="G29" s="9"/>
      <c r="S29" s="14"/>
      <c r="T29" s="14"/>
      <c r="U29" s="1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38"/>
      <c r="AU29" s="38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8" customHeight="1">
      <c r="A30" s="38"/>
      <c r="B30" s="15"/>
      <c r="C30" s="15"/>
      <c r="D30" s="15"/>
      <c r="E30" s="15"/>
      <c r="F30" s="15"/>
      <c r="G30" s="9"/>
      <c r="S30" s="14"/>
      <c r="T30" s="14"/>
      <c r="U30" s="1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38"/>
      <c r="AU30" s="38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8" customHeight="1">
      <c r="A31" s="38"/>
      <c r="B31" s="15"/>
      <c r="C31" s="15" t="s">
        <v>147</v>
      </c>
      <c r="D31" s="15"/>
      <c r="E31" s="15"/>
      <c r="F31" s="527" t="s">
        <v>703</v>
      </c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38"/>
      <c r="AU31" s="38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8" customHeight="1">
      <c r="A32" s="3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8"/>
      <c r="Q32" s="38"/>
      <c r="R32" s="542">
        <f>P41</f>
        <v>1860</v>
      </c>
      <c r="S32" s="542"/>
      <c r="T32" s="590"/>
      <c r="U32" s="66" t="s">
        <v>709</v>
      </c>
      <c r="Z32" s="38"/>
      <c r="AA32" s="38"/>
      <c r="AB32" s="38"/>
      <c r="AC32" s="15"/>
      <c r="AD32" s="38"/>
      <c r="AE32" s="38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38"/>
      <c r="AU32" s="38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8" customHeight="1">
      <c r="A33" s="38"/>
      <c r="B33" s="15"/>
      <c r="C33" s="15"/>
      <c r="D33" s="15"/>
      <c r="E33" s="15"/>
      <c r="F33" s="15"/>
      <c r="G33" s="482"/>
      <c r="P33" s="482"/>
      <c r="Q33" s="482"/>
      <c r="Z33" s="38"/>
      <c r="AA33" s="38"/>
      <c r="AB33" s="38"/>
      <c r="AC33" s="92"/>
      <c r="AD33" s="38"/>
      <c r="AE33" s="38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38"/>
      <c r="AU33" s="38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30:57" ht="18" customHeight="1">
      <c r="AD34" s="38"/>
      <c r="AE34" s="38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38"/>
      <c r="AU34" s="38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30:57" ht="18" customHeight="1">
      <c r="AD35" s="38"/>
      <c r="AE35" s="38"/>
      <c r="AF35" s="244"/>
      <c r="AG35" s="482"/>
      <c r="AH35" s="482">
        <v>1</v>
      </c>
      <c r="AI35" s="482">
        <v>2</v>
      </c>
      <c r="AJ35" s="482">
        <v>3</v>
      </c>
      <c r="AK35" s="482">
        <v>4</v>
      </c>
      <c r="AL35" s="482">
        <v>5</v>
      </c>
      <c r="AM35" s="482">
        <v>6</v>
      </c>
      <c r="AN35" s="482"/>
      <c r="AO35" s="244"/>
      <c r="AP35" s="244"/>
      <c r="AQ35" s="244"/>
      <c r="AR35" s="244"/>
      <c r="AS35" s="244"/>
      <c r="AT35" s="38"/>
      <c r="AU35" s="38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30:57" ht="18" customHeight="1">
      <c r="AD36" s="38"/>
      <c r="AE36" s="38"/>
      <c r="AF36" s="244"/>
      <c r="AG36" s="482"/>
      <c r="AH36" s="482" t="s">
        <v>701</v>
      </c>
      <c r="AI36" s="482">
        <v>1</v>
      </c>
      <c r="AJ36" s="482">
        <v>700</v>
      </c>
      <c r="AK36" s="482" t="s">
        <v>702</v>
      </c>
      <c r="AL36" s="482">
        <v>200</v>
      </c>
      <c r="AM36" s="482">
        <f>(AJ36+AL36)*0.2</f>
        <v>180</v>
      </c>
      <c r="AN36" s="482"/>
      <c r="AO36" s="244"/>
      <c r="AP36" s="244"/>
      <c r="AQ36" s="244"/>
      <c r="AR36" s="244"/>
      <c r="AS36" s="244"/>
      <c r="AT36" s="38"/>
      <c r="AU36" s="38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8:57" ht="18" customHeight="1">
      <c r="H37" s="528" t="s">
        <v>705</v>
      </c>
      <c r="I37" s="528"/>
      <c r="J37" s="528"/>
      <c r="K37" s="528"/>
      <c r="L37" s="528"/>
      <c r="M37" s="528"/>
      <c r="N37" s="528"/>
      <c r="O37" s="528"/>
      <c r="P37" s="526">
        <f>VLOOKUP($F$31,$AH$36:$AN$37,2,FALSE)</f>
        <v>2</v>
      </c>
      <c r="Q37" s="526"/>
      <c r="R37" s="526"/>
      <c r="AD37" s="15"/>
      <c r="AE37" s="38"/>
      <c r="AF37" s="244"/>
      <c r="AG37" s="482"/>
      <c r="AH37" s="482" t="s">
        <v>703</v>
      </c>
      <c r="AI37" s="482">
        <v>2</v>
      </c>
      <c r="AJ37" s="482">
        <v>1400</v>
      </c>
      <c r="AK37" s="482" t="s">
        <v>704</v>
      </c>
      <c r="AL37" s="482">
        <v>150</v>
      </c>
      <c r="AM37" s="482">
        <f>(AJ37+AL37)*0.2</f>
        <v>310</v>
      </c>
      <c r="AN37" s="482"/>
      <c r="AO37" s="244"/>
      <c r="AP37" s="244"/>
      <c r="AQ37" s="244"/>
      <c r="AR37" s="244"/>
      <c r="AS37" s="244"/>
      <c r="AT37" s="38"/>
      <c r="AU37" s="38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8:57" ht="18" customHeight="1">
      <c r="H38" s="528" t="s">
        <v>706</v>
      </c>
      <c r="I38" s="528"/>
      <c r="J38" s="528"/>
      <c r="K38" s="528"/>
      <c r="L38" s="528"/>
      <c r="M38" s="528"/>
      <c r="N38" s="528"/>
      <c r="O38" s="528"/>
      <c r="P38" s="642">
        <f>VLOOKUP($F$31,$AH$36:$AN$37,3,FALSE)</f>
        <v>1400</v>
      </c>
      <c r="Q38" s="642"/>
      <c r="R38" s="642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8:57" ht="18" customHeight="1">
      <c r="H39" s="639" t="str">
        <f>VLOOKUP(F31,AH36:AN37,4,FALSE)</f>
        <v>小道具重さ</v>
      </c>
      <c r="I39" s="639"/>
      <c r="J39" s="639"/>
      <c r="K39" s="639"/>
      <c r="L39" s="639"/>
      <c r="M39" s="639"/>
      <c r="N39" s="639"/>
      <c r="O39" s="639"/>
      <c r="P39" s="642">
        <f>VLOOKUP($F$31,$AH$36:$AN$37,5,FALSE)</f>
        <v>150</v>
      </c>
      <c r="Q39" s="642"/>
      <c r="R39" s="642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8:57" ht="18" customHeight="1" thickBot="1">
      <c r="H40" s="654" t="s">
        <v>707</v>
      </c>
      <c r="I40" s="654"/>
      <c r="J40" s="654"/>
      <c r="K40" s="654"/>
      <c r="L40" s="654"/>
      <c r="M40" s="654"/>
      <c r="N40" s="654"/>
      <c r="O40" s="654"/>
      <c r="P40" s="646">
        <f>(P38+P39)*0.2</f>
        <v>310</v>
      </c>
      <c r="Q40" s="646"/>
      <c r="R40" s="646"/>
      <c r="AD40" s="38"/>
      <c r="AE40" s="474" t="s">
        <v>219</v>
      </c>
      <c r="AF40" s="474"/>
      <c r="AG40" s="474"/>
      <c r="AH40" s="474"/>
      <c r="AI40" s="39"/>
      <c r="AJ40"/>
      <c r="AK40"/>
      <c r="AL40"/>
      <c r="AM40"/>
      <c r="AN40"/>
      <c r="AO40" s="38"/>
      <c r="AP40" s="38"/>
      <c r="AQ40" s="38"/>
      <c r="AR40" s="38"/>
      <c r="AS40" s="38"/>
      <c r="AT40" s="38"/>
      <c r="AU40" s="38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8:57" ht="18" customHeight="1" thickTop="1">
      <c r="H41" s="655" t="s">
        <v>708</v>
      </c>
      <c r="I41" s="655"/>
      <c r="J41" s="655"/>
      <c r="K41" s="655"/>
      <c r="L41" s="655"/>
      <c r="M41" s="655"/>
      <c r="N41" s="655"/>
      <c r="O41" s="655"/>
      <c r="P41" s="652">
        <f>SUM(P38:R40)</f>
        <v>1860</v>
      </c>
      <c r="Q41" s="652"/>
      <c r="R41" s="652"/>
      <c r="AD41" s="38"/>
      <c r="AE41" s="475"/>
      <c r="AF41" s="475"/>
      <c r="AG41" s="475"/>
      <c r="AH41" s="475"/>
      <c r="AI41" s="475"/>
      <c r="AJ41" s="159"/>
      <c r="AK41" s="159"/>
      <c r="AL41" s="159"/>
      <c r="AM41" s="159"/>
      <c r="AN41" s="159"/>
      <c r="AO41" s="38"/>
      <c r="AP41" s="38"/>
      <c r="AQ41" s="38"/>
      <c r="AR41" s="38"/>
      <c r="AS41" s="38"/>
      <c r="AT41" s="38"/>
      <c r="AU41" s="38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30:57" ht="18" customHeight="1">
      <c r="AD42" s="38"/>
      <c r="AE42" s="475"/>
      <c r="AF42" s="606" t="s">
        <v>220</v>
      </c>
      <c r="AG42" s="607"/>
      <c r="AH42" s="601" t="s">
        <v>221</v>
      </c>
      <c r="AI42" s="603" t="s">
        <v>222</v>
      </c>
      <c r="AJ42" s="633" t="s">
        <v>223</v>
      </c>
      <c r="AK42" s="510" t="s">
        <v>224</v>
      </c>
      <c r="AL42" s="631" t="s">
        <v>225</v>
      </c>
      <c r="AM42" s="501" t="s">
        <v>226</v>
      </c>
      <c r="AN42" s="502"/>
      <c r="AO42" s="38"/>
      <c r="AP42" s="38"/>
      <c r="AQ42" s="38"/>
      <c r="AR42" s="38"/>
      <c r="AS42" s="38"/>
      <c r="AT42" s="38"/>
      <c r="AU42" s="38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30:57" ht="18" customHeight="1">
      <c r="AD43" s="38"/>
      <c r="AE43" s="475"/>
      <c r="AF43" s="608"/>
      <c r="AG43" s="609"/>
      <c r="AH43" s="602"/>
      <c r="AI43" s="604"/>
      <c r="AJ43" s="634"/>
      <c r="AK43" s="511"/>
      <c r="AL43" s="632"/>
      <c r="AM43" s="592"/>
      <c r="AN43" s="593"/>
      <c r="AO43" s="38"/>
      <c r="AP43" s="38"/>
      <c r="AQ43" s="38"/>
      <c r="AR43" s="38"/>
      <c r="AS43" s="38"/>
      <c r="AT43" s="38"/>
      <c r="AU43" s="38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30:57" ht="18" customHeight="1">
      <c r="AD44" s="38"/>
      <c r="AE44" s="475"/>
      <c r="AF44" s="530"/>
      <c r="AG44" s="531"/>
      <c r="AH44" s="597"/>
      <c r="AI44" s="598"/>
      <c r="AJ44" s="599"/>
      <c r="AK44" s="600"/>
      <c r="AL44" s="594"/>
      <c r="AM44" s="595"/>
      <c r="AN44" s="596"/>
      <c r="AO44" s="38"/>
      <c r="AP44" s="38"/>
      <c r="AQ44" s="38"/>
      <c r="AR44" s="38"/>
      <c r="AS44" s="38"/>
      <c r="AT44" s="38"/>
      <c r="AU44" s="38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30:57" ht="18" customHeight="1">
      <c r="AD45" s="38"/>
      <c r="AE45" s="475"/>
      <c r="AF45" s="535"/>
      <c r="AG45" s="534"/>
      <c r="AH45" s="522"/>
      <c r="AI45" s="507"/>
      <c r="AJ45" s="508"/>
      <c r="AK45" s="509"/>
      <c r="AL45" s="512"/>
      <c r="AM45" s="499"/>
      <c r="AN45" s="517"/>
      <c r="AO45" s="38"/>
      <c r="AP45" s="38"/>
      <c r="AQ45" s="38"/>
      <c r="AR45" s="38"/>
      <c r="AS45" s="38"/>
      <c r="AT45" s="38"/>
      <c r="AU45" s="38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30:57" ht="18" customHeight="1">
      <c r="AD46" s="15"/>
      <c r="AE46" s="475"/>
      <c r="AF46" s="533" t="s">
        <v>227</v>
      </c>
      <c r="AG46" s="534"/>
      <c r="AH46" s="522" t="s">
        <v>228</v>
      </c>
      <c r="AI46" s="506">
        <v>7000</v>
      </c>
      <c r="AJ46" s="508">
        <v>1750</v>
      </c>
      <c r="AK46" s="509">
        <v>1750</v>
      </c>
      <c r="AL46" s="512">
        <f>SUM($AI$46:$AK$47)</f>
        <v>10500</v>
      </c>
      <c r="AM46" s="500" t="s">
        <v>229</v>
      </c>
      <c r="AN46" s="517"/>
      <c r="AO46" s="38"/>
      <c r="AP46" s="38"/>
      <c r="AQ46" s="38"/>
      <c r="AR46" s="38"/>
      <c r="AS46" s="38"/>
      <c r="AT46" s="38"/>
      <c r="AU46" s="38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30:57" ht="18" customHeight="1">
      <c r="AD47" s="15"/>
      <c r="AE47" s="475"/>
      <c r="AF47" s="535"/>
      <c r="AG47" s="534"/>
      <c r="AH47" s="522"/>
      <c r="AI47" s="507"/>
      <c r="AJ47" s="508"/>
      <c r="AK47" s="509"/>
      <c r="AL47" s="512"/>
      <c r="AM47" s="499"/>
      <c r="AN47" s="517"/>
      <c r="AO47" s="38"/>
      <c r="AP47" s="38"/>
      <c r="AQ47" s="38"/>
      <c r="AR47" s="38"/>
      <c r="AS47" s="38"/>
      <c r="AT47" s="38"/>
      <c r="AU47" s="38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8" customHeight="1">
      <c r="A48" s="15"/>
      <c r="B48" s="486" t="s">
        <v>713</v>
      </c>
      <c r="C48" s="15"/>
      <c r="D48" s="15"/>
      <c r="E48" s="15"/>
      <c r="F48" s="15"/>
      <c r="G48" s="482"/>
      <c r="P48" s="482"/>
      <c r="Q48" s="482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475"/>
      <c r="AF48" s="533" t="s">
        <v>230</v>
      </c>
      <c r="AG48" s="534"/>
      <c r="AH48" s="522" t="s">
        <v>231</v>
      </c>
      <c r="AI48" s="506">
        <v>700</v>
      </c>
      <c r="AJ48" s="508">
        <v>175</v>
      </c>
      <c r="AK48" s="509">
        <v>175</v>
      </c>
      <c r="AL48" s="512">
        <f>SUM($AI$48:$AK$49)</f>
        <v>1050</v>
      </c>
      <c r="AM48" s="516" t="s">
        <v>232</v>
      </c>
      <c r="AN48" s="517"/>
      <c r="AO48" s="38"/>
      <c r="AP48" s="38"/>
      <c r="AQ48" s="38"/>
      <c r="AR48" s="38"/>
      <c r="AS48" s="38"/>
      <c r="AT48" s="38"/>
      <c r="AU48" s="38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8" customHeight="1">
      <c r="A49" s="15"/>
      <c r="B49" s="15"/>
      <c r="C49" s="102"/>
      <c r="D49" s="18"/>
      <c r="E49" s="15"/>
      <c r="F49" s="15"/>
      <c r="G49" s="15"/>
      <c r="H49" s="15"/>
      <c r="I49" s="15"/>
      <c r="J49" s="15"/>
      <c r="K49" s="15"/>
      <c r="L49" s="15"/>
      <c r="M49" s="18" t="s">
        <v>77</v>
      </c>
      <c r="N49" s="18"/>
      <c r="O49" s="15"/>
      <c r="P49" s="15"/>
      <c r="Q49" s="15"/>
      <c r="R49" s="15" t="s">
        <v>97</v>
      </c>
      <c r="S49" s="15"/>
      <c r="T49" s="15"/>
      <c r="U49" s="65"/>
      <c r="V49" s="15"/>
      <c r="W49" s="15"/>
      <c r="X49" s="15"/>
      <c r="Y49" s="15"/>
      <c r="Z49" s="15"/>
      <c r="AA49" s="15"/>
      <c r="AB49" s="38"/>
      <c r="AC49" s="38"/>
      <c r="AD49" s="15"/>
      <c r="AE49" s="475"/>
      <c r="AF49" s="535"/>
      <c r="AG49" s="534"/>
      <c r="AH49" s="522"/>
      <c r="AI49" s="507"/>
      <c r="AJ49" s="508"/>
      <c r="AK49" s="509"/>
      <c r="AL49" s="512"/>
      <c r="AM49" s="499"/>
      <c r="AN49" s="517"/>
      <c r="AO49" s="38"/>
      <c r="AP49" s="38"/>
      <c r="AQ49" s="38"/>
      <c r="AR49" s="38"/>
      <c r="AS49" s="38"/>
      <c r="AT49" s="38"/>
      <c r="AU49" s="38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8" customHeight="1">
      <c r="A50" s="15"/>
      <c r="B50" s="15"/>
      <c r="C50" s="102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65"/>
      <c r="V50" s="15"/>
      <c r="W50" s="15"/>
      <c r="X50" s="15"/>
      <c r="Y50" s="15"/>
      <c r="Z50" s="15"/>
      <c r="AA50" s="15"/>
      <c r="AB50" s="38"/>
      <c r="AC50" s="38"/>
      <c r="AD50" s="15"/>
      <c r="AE50" s="475"/>
      <c r="AF50" s="533" t="s">
        <v>233</v>
      </c>
      <c r="AG50" s="534"/>
      <c r="AH50" s="522" t="s">
        <v>234</v>
      </c>
      <c r="AI50" s="524">
        <v>233</v>
      </c>
      <c r="AJ50" s="504"/>
      <c r="AK50" s="532">
        <v>47</v>
      </c>
      <c r="AL50" s="514">
        <f>$AI$50+$AK$50</f>
        <v>280</v>
      </c>
      <c r="AM50" s="516" t="s">
        <v>235</v>
      </c>
      <c r="AN50" s="517"/>
      <c r="AO50" s="38"/>
      <c r="AP50" s="38"/>
      <c r="AQ50" s="38"/>
      <c r="AR50" s="38"/>
      <c r="AS50" s="38"/>
      <c r="AT50" s="38"/>
      <c r="AU50" s="38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8" customHeight="1">
      <c r="A51" s="15"/>
      <c r="B51" s="15"/>
      <c r="C51" s="102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65"/>
      <c r="V51" s="15"/>
      <c r="W51" s="15"/>
      <c r="X51" s="15"/>
      <c r="Y51" s="15"/>
      <c r="Z51" s="15"/>
      <c r="AA51" s="15"/>
      <c r="AB51" s="38"/>
      <c r="AC51" s="38"/>
      <c r="AD51" s="38"/>
      <c r="AE51" s="475"/>
      <c r="AF51" s="520"/>
      <c r="AG51" s="521"/>
      <c r="AH51" s="523"/>
      <c r="AI51" s="503"/>
      <c r="AJ51" s="505"/>
      <c r="AK51" s="513"/>
      <c r="AL51" s="515"/>
      <c r="AM51" s="518"/>
      <c r="AN51" s="519"/>
      <c r="AO51" s="38"/>
      <c r="AP51" s="38"/>
      <c r="AQ51" s="38"/>
      <c r="AR51" s="38"/>
      <c r="AS51" s="38"/>
      <c r="AT51" s="38"/>
      <c r="AU51" s="38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8" customHeight="1">
      <c r="A52" s="15"/>
      <c r="B52" s="15"/>
      <c r="C52" s="102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65"/>
      <c r="V52" s="15"/>
      <c r="W52" s="15"/>
      <c r="X52" s="15"/>
      <c r="Y52" s="15"/>
      <c r="Z52" s="15"/>
      <c r="AA52" s="15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8" customHeight="1">
      <c r="A53" s="15"/>
      <c r="B53" s="15"/>
      <c r="C53" s="102"/>
      <c r="D53" s="15"/>
      <c r="E53" s="15"/>
      <c r="F53" s="15"/>
      <c r="G53" s="15"/>
      <c r="H53" s="15"/>
      <c r="I53" s="15"/>
      <c r="J53" s="15"/>
      <c r="K53" s="15"/>
      <c r="L53" s="15"/>
      <c r="M53" s="15" t="s">
        <v>98</v>
      </c>
      <c r="N53" s="15"/>
      <c r="O53" s="15"/>
      <c r="P53" s="15"/>
      <c r="Q53" s="15"/>
      <c r="R53" s="15"/>
      <c r="S53" s="15"/>
      <c r="T53" s="15"/>
      <c r="U53" s="65"/>
      <c r="V53" s="15"/>
      <c r="W53" s="15"/>
      <c r="X53" s="15"/>
      <c r="Y53" s="15"/>
      <c r="Z53" s="15"/>
      <c r="AA53" s="15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8" customHeight="1">
      <c r="A54" s="15"/>
      <c r="B54" s="15"/>
      <c r="C54" s="102"/>
      <c r="D54" s="18"/>
      <c r="E54" s="15"/>
      <c r="F54" s="15" t="s">
        <v>99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38"/>
      <c r="U54" s="65"/>
      <c r="V54" s="15"/>
      <c r="W54" s="15"/>
      <c r="X54" s="15"/>
      <c r="Y54" s="15"/>
      <c r="Z54" s="15"/>
      <c r="AA54" s="15"/>
      <c r="AB54" s="38"/>
      <c r="AC54" s="38"/>
      <c r="AD54" s="65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8" customHeight="1">
      <c r="A55" s="15"/>
      <c r="B55" s="15"/>
      <c r="C55" s="15"/>
      <c r="D55" s="18"/>
      <c r="E55" s="15"/>
      <c r="F55" s="15"/>
      <c r="G55" s="15"/>
      <c r="H55" s="15"/>
      <c r="I55" s="15"/>
      <c r="J55" s="15"/>
      <c r="K55" s="15"/>
      <c r="L55" s="15" t="s">
        <v>78</v>
      </c>
      <c r="M55" s="653">
        <v>900</v>
      </c>
      <c r="N55" s="653"/>
      <c r="O55" s="15" t="s">
        <v>96</v>
      </c>
      <c r="P55" s="15"/>
      <c r="Q55" s="15"/>
      <c r="R55" s="15"/>
      <c r="S55" s="15"/>
      <c r="T55" s="15"/>
      <c r="U55" s="65"/>
      <c r="V55" s="15"/>
      <c r="W55" s="15"/>
      <c r="X55" s="15"/>
      <c r="Y55" s="15"/>
      <c r="Z55" s="29"/>
      <c r="AA55" s="15"/>
      <c r="AB55" s="38"/>
      <c r="AC55" s="38"/>
      <c r="AD55" s="65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8" customHeight="1">
      <c r="A56" s="15"/>
      <c r="B56" s="15"/>
      <c r="C56" s="15"/>
      <c r="D56" s="18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65"/>
      <c r="V56" s="15"/>
      <c r="W56" s="15"/>
      <c r="X56" s="15"/>
      <c r="Y56" s="15"/>
      <c r="Z56" s="29"/>
      <c r="AA56" s="15"/>
      <c r="AB56" s="38"/>
      <c r="AC56" s="38"/>
      <c r="AD56" s="65"/>
      <c r="AE56" s="65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8" customHeight="1">
      <c r="A57" s="15"/>
      <c r="B57" s="15"/>
      <c r="C57" s="15"/>
      <c r="D57" s="15"/>
      <c r="E57" s="64"/>
      <c r="F57" s="15"/>
      <c r="G57" s="15"/>
      <c r="H57" s="15"/>
      <c r="I57" s="18"/>
      <c r="J57" s="15"/>
      <c r="K57" s="18"/>
      <c r="L57" s="15"/>
      <c r="M57" s="15"/>
      <c r="N57" s="112"/>
      <c r="O57" s="19"/>
      <c r="P57" s="15"/>
      <c r="Q57" s="15"/>
      <c r="R57" s="113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65"/>
      <c r="AE57" s="65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8" customHeight="1">
      <c r="A58" s="15"/>
      <c r="B58" s="15"/>
      <c r="C58" s="15" t="s">
        <v>149</v>
      </c>
      <c r="D58" s="15"/>
      <c r="E58" s="15"/>
      <c r="F58" s="102"/>
      <c r="G58" s="15" t="s">
        <v>147</v>
      </c>
      <c r="H58" s="15"/>
      <c r="I58" s="15"/>
      <c r="J58" s="15"/>
      <c r="K58" s="15"/>
      <c r="L58" s="19" t="s">
        <v>168</v>
      </c>
      <c r="M58" s="19" t="s">
        <v>169</v>
      </c>
      <c r="N58" s="581">
        <f>$R$32</f>
        <v>1860</v>
      </c>
      <c r="O58" s="581"/>
      <c r="P58" s="590"/>
      <c r="Q58" s="15" t="s">
        <v>157</v>
      </c>
      <c r="R58" s="113"/>
      <c r="S58" s="113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65"/>
      <c r="AE58" s="65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8" customHeight="1">
      <c r="A59" s="15"/>
      <c r="B59" s="15"/>
      <c r="C59" s="15" t="s">
        <v>150</v>
      </c>
      <c r="D59" s="102"/>
      <c r="E59" s="15"/>
      <c r="F59" s="15"/>
      <c r="G59" s="15" t="s">
        <v>98</v>
      </c>
      <c r="H59" s="15"/>
      <c r="I59" s="114"/>
      <c r="J59" s="115"/>
      <c r="K59" s="15"/>
      <c r="L59" s="116" t="s">
        <v>170</v>
      </c>
      <c r="M59" s="116" t="s">
        <v>171</v>
      </c>
      <c r="N59" s="581">
        <f>$R$27</f>
        <v>44</v>
      </c>
      <c r="O59" s="581"/>
      <c r="P59" s="590"/>
      <c r="Q59" s="582" t="s">
        <v>140</v>
      </c>
      <c r="R59" s="582"/>
      <c r="S59" s="113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66"/>
      <c r="AE59" s="65"/>
      <c r="AF59" s="65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29" ht="18" customHeight="1">
      <c r="A60" s="65"/>
      <c r="B60" s="65"/>
      <c r="C60" s="65"/>
      <c r="D60" s="65"/>
      <c r="E60" s="65"/>
      <c r="F60" s="65"/>
      <c r="G60" s="65"/>
      <c r="H60" s="65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65"/>
      <c r="AA60" s="65"/>
      <c r="AB60" s="65"/>
      <c r="AC60" s="65"/>
    </row>
    <row r="61" spans="1:29" ht="18" customHeight="1">
      <c r="A61" s="15"/>
      <c r="B61" s="15"/>
      <c r="C61" s="15"/>
      <c r="D61" s="15" t="s">
        <v>172</v>
      </c>
      <c r="E61" s="102"/>
      <c r="F61" s="102"/>
      <c r="G61" s="15"/>
      <c r="H61" s="15"/>
      <c r="I61" s="102"/>
      <c r="J61" s="15"/>
      <c r="K61" s="15"/>
      <c r="L61" s="15"/>
      <c r="M61" s="15"/>
      <c r="N61" s="112"/>
      <c r="O61" s="15"/>
      <c r="P61" s="112"/>
      <c r="Q61" s="15"/>
      <c r="R61" s="113"/>
      <c r="S61" s="113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8" customHeight="1">
      <c r="A62" s="15"/>
      <c r="B62" s="15"/>
      <c r="C62" s="15"/>
      <c r="D62" s="15"/>
      <c r="E62" s="605" t="s">
        <v>173</v>
      </c>
      <c r="F62" s="605" t="s">
        <v>174</v>
      </c>
      <c r="G62" s="647" t="s">
        <v>175</v>
      </c>
      <c r="H62" s="647"/>
      <c r="I62" s="605" t="s">
        <v>79</v>
      </c>
      <c r="J62" s="647" t="s">
        <v>176</v>
      </c>
      <c r="K62" s="647"/>
      <c r="L62" s="15"/>
      <c r="M62" s="15"/>
      <c r="N62" s="15"/>
      <c r="O62" s="91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66"/>
      <c r="AB62" s="66"/>
      <c r="AC62" s="66"/>
    </row>
    <row r="63" spans="1:29" ht="18" customHeight="1">
      <c r="A63" s="15"/>
      <c r="B63" s="15"/>
      <c r="C63" s="15"/>
      <c r="D63" s="15"/>
      <c r="E63" s="605"/>
      <c r="F63" s="605"/>
      <c r="G63" s="605">
        <v>4</v>
      </c>
      <c r="H63" s="605"/>
      <c r="I63" s="605"/>
      <c r="J63" s="605">
        <v>8</v>
      </c>
      <c r="K63" s="605"/>
      <c r="L63" s="15"/>
      <c r="M63" s="15"/>
      <c r="N63" s="15"/>
      <c r="O63" s="91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66"/>
      <c r="AB63" s="66"/>
      <c r="AC63" s="66"/>
    </row>
    <row r="64" spans="1:29" ht="18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91"/>
      <c r="P64" s="15"/>
      <c r="Q64" s="15"/>
      <c r="R64" s="118"/>
      <c r="S64" s="15"/>
      <c r="T64" s="15"/>
      <c r="U64" s="15"/>
      <c r="V64" s="15"/>
      <c r="W64" s="15"/>
      <c r="X64" s="15"/>
      <c r="Y64" s="15"/>
      <c r="Z64" s="15"/>
      <c r="AA64" s="66"/>
      <c r="AB64" s="66"/>
      <c r="AC64" s="66"/>
    </row>
    <row r="65" spans="1:29" ht="18" customHeight="1">
      <c r="A65" s="15"/>
      <c r="B65" s="15"/>
      <c r="C65" s="15"/>
      <c r="D65" s="15"/>
      <c r="E65" s="15"/>
      <c r="F65" s="605" t="s">
        <v>174</v>
      </c>
      <c r="G65" s="613">
        <f>$N$58</f>
        <v>1860</v>
      </c>
      <c r="H65" s="614"/>
      <c r="I65" s="614"/>
      <c r="J65" s="17" t="s">
        <v>69</v>
      </c>
      <c r="K65" s="615">
        <f>$M$55/1000</f>
        <v>0.9</v>
      </c>
      <c r="L65" s="615"/>
      <c r="M65" s="605" t="s">
        <v>79</v>
      </c>
      <c r="N65" s="617">
        <f>$N$59</f>
        <v>44</v>
      </c>
      <c r="O65" s="617"/>
      <c r="P65" s="17" t="s">
        <v>69</v>
      </c>
      <c r="Q65" s="616">
        <f>$M$55/1000</f>
        <v>0.9</v>
      </c>
      <c r="R65" s="616"/>
      <c r="S65" s="119" t="s">
        <v>177</v>
      </c>
      <c r="T65" s="605" t="s">
        <v>174</v>
      </c>
      <c r="U65" s="611">
        <f>ROUND(($G$65*$K$65/$J$66+$N$65*$Q$65^2/$P$66),0)</f>
        <v>423</v>
      </c>
      <c r="V65" s="611"/>
      <c r="W65" s="644" t="s">
        <v>178</v>
      </c>
      <c r="X65" s="645"/>
      <c r="Y65" s="15"/>
      <c r="Z65" s="66"/>
      <c r="AA65" s="66"/>
      <c r="AB65" s="66"/>
      <c r="AC65" s="38"/>
    </row>
    <row r="66" spans="1:29" ht="18" customHeight="1">
      <c r="A66" s="15"/>
      <c r="B66" s="15"/>
      <c r="C66" s="15"/>
      <c r="D66" s="15"/>
      <c r="E66" s="66"/>
      <c r="F66" s="605"/>
      <c r="G66" s="120"/>
      <c r="H66" s="121"/>
      <c r="I66" s="121"/>
      <c r="J66" s="19">
        <v>4</v>
      </c>
      <c r="K66" s="15"/>
      <c r="L66" s="15"/>
      <c r="M66" s="605"/>
      <c r="N66" s="15"/>
      <c r="O66" s="15"/>
      <c r="P66" s="19">
        <v>8</v>
      </c>
      <c r="Q66" s="15"/>
      <c r="R66" s="15"/>
      <c r="S66" s="18"/>
      <c r="T66" s="605"/>
      <c r="U66" s="611"/>
      <c r="V66" s="611"/>
      <c r="W66" s="645"/>
      <c r="X66" s="645"/>
      <c r="Y66" s="15"/>
      <c r="Z66" s="66"/>
      <c r="AA66" s="66"/>
      <c r="AB66" s="66"/>
      <c r="AC66" s="38"/>
    </row>
    <row r="67" spans="1:29" ht="18" customHeight="1">
      <c r="A67" s="15"/>
      <c r="B67" s="15"/>
      <c r="C67" s="15"/>
      <c r="D67" s="15" t="s">
        <v>159</v>
      </c>
      <c r="E67" s="102"/>
      <c r="F67" s="15"/>
      <c r="G67" s="15"/>
      <c r="H67" s="15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15"/>
      <c r="AA67" s="15"/>
      <c r="AB67" s="15"/>
      <c r="AC67" s="15"/>
    </row>
    <row r="68" spans="1:29" ht="18" customHeight="1">
      <c r="A68" s="65"/>
      <c r="B68" s="65"/>
      <c r="C68" s="65"/>
      <c r="D68" s="65"/>
      <c r="E68" s="605" t="s">
        <v>179</v>
      </c>
      <c r="F68" s="605" t="s">
        <v>174</v>
      </c>
      <c r="G68" s="614" t="s">
        <v>80</v>
      </c>
      <c r="H68" s="614"/>
      <c r="I68" s="605" t="s">
        <v>68</v>
      </c>
      <c r="J68" s="613">
        <f>$U$65*1000</f>
        <v>423000</v>
      </c>
      <c r="K68" s="613"/>
      <c r="L68" s="613"/>
      <c r="M68" s="605" t="s">
        <v>174</v>
      </c>
      <c r="N68" s="630">
        <f>$J$68/$J$69</f>
        <v>13.5</v>
      </c>
      <c r="O68" s="630"/>
      <c r="P68" s="618" t="s">
        <v>180</v>
      </c>
      <c r="Q68" s="618"/>
      <c r="R68" s="605" t="str">
        <f>IF($N$68&lt;=$U$68,"＜","＞")</f>
        <v>＜</v>
      </c>
      <c r="S68" s="612" t="s">
        <v>181</v>
      </c>
      <c r="T68" s="612"/>
      <c r="U68" s="629">
        <f>VLOOKUP($J$27,'使用材一覧'!$AC$19:$AO$23,12,FALSE)</f>
        <v>16.2</v>
      </c>
      <c r="V68" s="629"/>
      <c r="W68" s="605" t="s">
        <v>182</v>
      </c>
      <c r="X68" s="605"/>
      <c r="Y68" s="610">
        <f>IF($N$68&lt;=$U$68,"","NG")</f>
      </c>
      <c r="Z68" s="610"/>
      <c r="AA68" s="610"/>
      <c r="AB68" s="610"/>
      <c r="AC68" s="65"/>
    </row>
    <row r="69" spans="1:29" ht="18" customHeight="1">
      <c r="A69" s="65"/>
      <c r="B69" s="65"/>
      <c r="C69" s="65"/>
      <c r="D69" s="65"/>
      <c r="E69" s="605"/>
      <c r="F69" s="605"/>
      <c r="G69" s="605" t="s">
        <v>81</v>
      </c>
      <c r="H69" s="605"/>
      <c r="I69" s="605"/>
      <c r="J69" s="541">
        <f>VLOOKUP($J$27,'使用材一覧'!$AC$19:$AO$23,10,FALSE)</f>
        <v>31360</v>
      </c>
      <c r="K69" s="541"/>
      <c r="L69" s="541"/>
      <c r="M69" s="605"/>
      <c r="N69" s="630"/>
      <c r="O69" s="630"/>
      <c r="P69" s="618"/>
      <c r="Q69" s="618"/>
      <c r="R69" s="605"/>
      <c r="S69" s="612"/>
      <c r="T69" s="612"/>
      <c r="U69" s="629"/>
      <c r="V69" s="629"/>
      <c r="W69" s="605"/>
      <c r="X69" s="605"/>
      <c r="Y69" s="610"/>
      <c r="Z69" s="610"/>
      <c r="AA69" s="610"/>
      <c r="AB69" s="610"/>
      <c r="AC69" s="65"/>
    </row>
    <row r="70" spans="1:29" ht="18" customHeight="1">
      <c r="A70" s="65"/>
      <c r="B70" s="65"/>
      <c r="C70" s="65"/>
      <c r="D70" s="65"/>
      <c r="E70" s="65"/>
      <c r="F70" s="65"/>
      <c r="G70" s="65"/>
      <c r="H70" s="65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65"/>
      <c r="AA70" s="65"/>
      <c r="AB70" s="65"/>
      <c r="AC70" s="65"/>
    </row>
    <row r="71" spans="1:29" ht="18" customHeight="1">
      <c r="A71" s="15"/>
      <c r="B71" s="15"/>
      <c r="C71" s="15" t="s">
        <v>82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66"/>
      <c r="AB71" s="66"/>
      <c r="AC71" s="66"/>
    </row>
    <row r="72" spans="1:29" ht="18" customHeight="1">
      <c r="A72" s="15"/>
      <c r="B72" s="15"/>
      <c r="C72" s="15"/>
      <c r="D72" s="15"/>
      <c r="E72" s="15"/>
      <c r="F72" s="15"/>
      <c r="G72" s="18"/>
      <c r="H72" s="18"/>
      <c r="I72" s="18"/>
      <c r="J72" s="38"/>
      <c r="K72" s="38"/>
      <c r="L72" s="123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66"/>
      <c r="AB72" s="66"/>
      <c r="AC72" s="66"/>
    </row>
    <row r="73" spans="1:29" ht="18" customHeight="1">
      <c r="A73" s="15"/>
      <c r="B73" s="15"/>
      <c r="C73" s="15"/>
      <c r="D73" s="15"/>
      <c r="E73" s="605" t="s">
        <v>183</v>
      </c>
      <c r="F73" s="605" t="s">
        <v>174</v>
      </c>
      <c r="G73" s="647" t="s">
        <v>184</v>
      </c>
      <c r="H73" s="647"/>
      <c r="I73" s="647"/>
      <c r="J73" s="648"/>
      <c r="K73" s="605" t="s">
        <v>79</v>
      </c>
      <c r="L73" s="651" t="s">
        <v>185</v>
      </c>
      <c r="M73" s="651"/>
      <c r="N73" s="651"/>
      <c r="O73" s="648"/>
      <c r="P73" s="15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66"/>
      <c r="AC73" s="66"/>
    </row>
    <row r="74" spans="1:29" ht="18" customHeight="1">
      <c r="A74" s="15"/>
      <c r="B74" s="15"/>
      <c r="C74" s="15"/>
      <c r="D74" s="15"/>
      <c r="E74" s="605"/>
      <c r="F74" s="605"/>
      <c r="G74" s="649" t="s">
        <v>186</v>
      </c>
      <c r="H74" s="649"/>
      <c r="I74" s="649"/>
      <c r="J74" s="650"/>
      <c r="K74" s="605"/>
      <c r="L74" s="649" t="s">
        <v>187</v>
      </c>
      <c r="M74" s="649"/>
      <c r="N74" s="649"/>
      <c r="O74" s="650"/>
      <c r="P74" s="15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66"/>
      <c r="AC74" s="66"/>
    </row>
    <row r="75" spans="1:29" ht="18" customHeight="1">
      <c r="A75" s="15"/>
      <c r="B75" s="15"/>
      <c r="C75" s="15"/>
      <c r="D75" s="15"/>
      <c r="E75" s="18"/>
      <c r="F75" s="18"/>
      <c r="G75" s="15"/>
      <c r="H75" s="15"/>
      <c r="I75" s="15"/>
      <c r="J75" s="15"/>
      <c r="K75" s="15"/>
      <c r="L75" s="15"/>
      <c r="M75" s="118"/>
      <c r="N75" s="118"/>
      <c r="O75" s="15"/>
      <c r="P75" s="15"/>
      <c r="Q75" s="15"/>
      <c r="R75" s="15"/>
      <c r="S75" s="15"/>
      <c r="T75" s="15"/>
      <c r="U75" s="15"/>
      <c r="V75" s="15"/>
      <c r="W75" s="118"/>
      <c r="X75" s="118"/>
      <c r="Y75" s="118"/>
      <c r="Z75" s="15"/>
      <c r="AA75" s="66"/>
      <c r="AB75" s="66"/>
      <c r="AC75" s="66"/>
    </row>
    <row r="76" spans="1:29" ht="18" customHeight="1">
      <c r="A76" s="15"/>
      <c r="B76" s="15"/>
      <c r="C76" s="15"/>
      <c r="D76" s="15"/>
      <c r="E76" s="18"/>
      <c r="F76" s="605" t="s">
        <v>174</v>
      </c>
      <c r="G76" s="620">
        <f>$N$58</f>
        <v>1860</v>
      </c>
      <c r="H76" s="621"/>
      <c r="I76" s="621"/>
      <c r="J76" s="17" t="s">
        <v>69</v>
      </c>
      <c r="K76" s="627">
        <f>$M$55</f>
        <v>900</v>
      </c>
      <c r="L76" s="627"/>
      <c r="M76" s="119" t="s">
        <v>188</v>
      </c>
      <c r="N76" s="124"/>
      <c r="O76" s="125"/>
      <c r="P76" s="605" t="s">
        <v>79</v>
      </c>
      <c r="Q76" s="614">
        <v>5</v>
      </c>
      <c r="R76" s="614"/>
      <c r="S76" s="17" t="s">
        <v>69</v>
      </c>
      <c r="T76" s="624">
        <f>$N$59/1000</f>
        <v>0.044</v>
      </c>
      <c r="U76" s="624"/>
      <c r="V76" s="625"/>
      <c r="W76" s="17" t="s">
        <v>69</v>
      </c>
      <c r="X76" s="622">
        <f>$M$55</f>
        <v>900</v>
      </c>
      <c r="Y76" s="623"/>
      <c r="Z76" s="119" t="s">
        <v>189</v>
      </c>
      <c r="AA76" s="66"/>
      <c r="AB76" s="66"/>
      <c r="AC76" s="66"/>
    </row>
    <row r="77" spans="1:29" ht="18" customHeight="1">
      <c r="A77" s="15"/>
      <c r="B77" s="15"/>
      <c r="C77" s="15"/>
      <c r="D77" s="15"/>
      <c r="E77" s="18"/>
      <c r="F77" s="605"/>
      <c r="G77" s="18">
        <v>48</v>
      </c>
      <c r="H77" s="18" t="s">
        <v>190</v>
      </c>
      <c r="I77" s="626">
        <f>VLOOKUP($J$27,'使用材一覧'!$AC$19:$AO$23,11,FALSE)</f>
        <v>6860</v>
      </c>
      <c r="J77" s="626"/>
      <c r="K77" s="626"/>
      <c r="L77" s="18" t="s">
        <v>69</v>
      </c>
      <c r="M77" s="611">
        <f>VLOOKUP($J$27,'使用材一覧'!$AC$19:$AO$23,9,FALSE)</f>
        <v>439000</v>
      </c>
      <c r="N77" s="611"/>
      <c r="O77" s="611"/>
      <c r="P77" s="605"/>
      <c r="Q77" s="605">
        <v>384</v>
      </c>
      <c r="R77" s="605"/>
      <c r="S77" s="15" t="s">
        <v>190</v>
      </c>
      <c r="T77" s="626">
        <f>VLOOKUP($J$27,'使用材一覧'!$AC$19:$AO$23,11,FALSE)</f>
        <v>6860</v>
      </c>
      <c r="U77" s="626"/>
      <c r="V77" s="626"/>
      <c r="W77" s="18" t="s">
        <v>69</v>
      </c>
      <c r="X77" s="611">
        <f>VLOOKUP($J$27,'使用材一覧'!$AC$19:$AO$23,9,FALSE)</f>
        <v>439000</v>
      </c>
      <c r="Y77" s="611"/>
      <c r="Z77" s="611"/>
      <c r="AA77" s="66"/>
      <c r="AB77" s="66"/>
      <c r="AC77" s="66"/>
    </row>
    <row r="78" spans="1:29" ht="18" customHeight="1">
      <c r="A78" s="15"/>
      <c r="B78" s="15"/>
      <c r="C78" s="15"/>
      <c r="D78" s="15"/>
      <c r="E78" s="18"/>
      <c r="F78" s="18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66"/>
      <c r="AB78" s="66"/>
      <c r="AC78" s="66"/>
    </row>
    <row r="79" spans="1:29" ht="18" customHeight="1">
      <c r="A79" s="15"/>
      <c r="B79" s="15"/>
      <c r="C79" s="15"/>
      <c r="D79" s="15"/>
      <c r="E79" s="18"/>
      <c r="F79" s="18" t="s">
        <v>174</v>
      </c>
      <c r="G79" s="619">
        <f>$G$76*$K$76^3/($G$77*$I$77*$M$77)+$Q$76*$T$76*$X$76^4/($Q$77*$T$77*$X$77)</f>
        <v>10</v>
      </c>
      <c r="H79" s="619"/>
      <c r="I79" s="15" t="s">
        <v>191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66"/>
      <c r="AB79" s="66"/>
      <c r="AC79" s="66"/>
    </row>
    <row r="80" spans="1:29" ht="18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</row>
    <row r="81" spans="1:29" ht="18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</row>
    <row r="82" spans="1:29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8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8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8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8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8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8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31" ht="18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8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8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8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8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8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8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8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8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8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8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8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8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8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8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30:31" ht="18" customHeight="1">
      <c r="AD108" s="4"/>
      <c r="AE108" s="4"/>
    </row>
    <row r="109" spans="30:31" ht="18" customHeight="1">
      <c r="AD109" s="4"/>
      <c r="AE109" s="4"/>
    </row>
    <row r="110" spans="30:31" ht="18" customHeight="1">
      <c r="AD110" s="4"/>
      <c r="AE110" s="4"/>
    </row>
    <row r="111" spans="30:31" ht="18" customHeight="1">
      <c r="AD111" s="4"/>
      <c r="AE111" s="4"/>
    </row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 sheet="1" objects="1" scenarios="1"/>
  <mergeCells count="128">
    <mergeCell ref="H40:O40"/>
    <mergeCell ref="H41:O41"/>
    <mergeCell ref="G62:H62"/>
    <mergeCell ref="I62:I63"/>
    <mergeCell ref="G63:H63"/>
    <mergeCell ref="J63:K63"/>
    <mergeCell ref="P41:R41"/>
    <mergeCell ref="J62:K62"/>
    <mergeCell ref="M55:N55"/>
    <mergeCell ref="N58:P58"/>
    <mergeCell ref="N59:P59"/>
    <mergeCell ref="P76:P77"/>
    <mergeCell ref="J68:L68"/>
    <mergeCell ref="M68:M69"/>
    <mergeCell ref="G73:J73"/>
    <mergeCell ref="G74:J74"/>
    <mergeCell ref="L73:O73"/>
    <mergeCell ref="L74:O74"/>
    <mergeCell ref="K73:K74"/>
    <mergeCell ref="Q76:R76"/>
    <mergeCell ref="AG10:AG11"/>
    <mergeCell ref="AH10:AH11"/>
    <mergeCell ref="X27:Y27"/>
    <mergeCell ref="Z27:AA27"/>
    <mergeCell ref="AF10:AF11"/>
    <mergeCell ref="Z17:AA17"/>
    <mergeCell ref="P39:R39"/>
    <mergeCell ref="W65:X66"/>
    <mergeCell ref="P40:R40"/>
    <mergeCell ref="I16:J16"/>
    <mergeCell ref="H38:O38"/>
    <mergeCell ref="H39:O39"/>
    <mergeCell ref="J23:P23"/>
    <mergeCell ref="O17:Q17"/>
    <mergeCell ref="P38:R38"/>
    <mergeCell ref="J25:P25"/>
    <mergeCell ref="R25:T25"/>
    <mergeCell ref="AM10:AM11"/>
    <mergeCell ref="J27:P27"/>
    <mergeCell ref="U23:V23"/>
    <mergeCell ref="U27:V27"/>
    <mergeCell ref="R23:T23"/>
    <mergeCell ref="R27:T27"/>
    <mergeCell ref="AI10:AI11"/>
    <mergeCell ref="AJ10:AJ11"/>
    <mergeCell ref="AK10:AK11"/>
    <mergeCell ref="U11:V11"/>
    <mergeCell ref="AL10:AL11"/>
    <mergeCell ref="G68:H68"/>
    <mergeCell ref="I68:I69"/>
    <mergeCell ref="G69:H69"/>
    <mergeCell ref="U68:V69"/>
    <mergeCell ref="N68:O69"/>
    <mergeCell ref="J69:L69"/>
    <mergeCell ref="W68:X69"/>
    <mergeCell ref="AL42:AL43"/>
    <mergeCell ref="AJ42:AJ43"/>
    <mergeCell ref="G79:H79"/>
    <mergeCell ref="G76:I76"/>
    <mergeCell ref="X76:Y76"/>
    <mergeCell ref="T76:V76"/>
    <mergeCell ref="I77:K77"/>
    <mergeCell ref="M77:O77"/>
    <mergeCell ref="Q77:R77"/>
    <mergeCell ref="T77:V77"/>
    <mergeCell ref="X77:Z77"/>
    <mergeCell ref="K76:L76"/>
    <mergeCell ref="E73:E74"/>
    <mergeCell ref="F68:F69"/>
    <mergeCell ref="F73:F74"/>
    <mergeCell ref="F65:F66"/>
    <mergeCell ref="S68:T69"/>
    <mergeCell ref="E62:E63"/>
    <mergeCell ref="F62:F63"/>
    <mergeCell ref="E68:E69"/>
    <mergeCell ref="G65:I65"/>
    <mergeCell ref="K65:L65"/>
    <mergeCell ref="Q65:R65"/>
    <mergeCell ref="M65:M66"/>
    <mergeCell ref="N65:O65"/>
    <mergeCell ref="P68:Q69"/>
    <mergeCell ref="AH42:AH43"/>
    <mergeCell ref="AI42:AI43"/>
    <mergeCell ref="F76:F77"/>
    <mergeCell ref="AF42:AG43"/>
    <mergeCell ref="AF46:AG47"/>
    <mergeCell ref="R68:R69"/>
    <mergeCell ref="T65:T66"/>
    <mergeCell ref="Y68:AB69"/>
    <mergeCell ref="U65:V66"/>
    <mergeCell ref="Q59:R59"/>
    <mergeCell ref="AH44:AH45"/>
    <mergeCell ref="AI44:AI45"/>
    <mergeCell ref="AJ44:AJ45"/>
    <mergeCell ref="AK44:AK45"/>
    <mergeCell ref="AK42:AK43"/>
    <mergeCell ref="AL46:AL47"/>
    <mergeCell ref="AL48:AL49"/>
    <mergeCell ref="AM48:AN49"/>
    <mergeCell ref="AM46:AN47"/>
    <mergeCell ref="AM42:AN43"/>
    <mergeCell ref="AL44:AL45"/>
    <mergeCell ref="AM44:AN45"/>
    <mergeCell ref="AH46:AH47"/>
    <mergeCell ref="AK46:AK47"/>
    <mergeCell ref="AI46:AI47"/>
    <mergeCell ref="AJ46:AJ47"/>
    <mergeCell ref="AH48:AH49"/>
    <mergeCell ref="AI48:AI49"/>
    <mergeCell ref="AJ48:AJ49"/>
    <mergeCell ref="AK48:AK49"/>
    <mergeCell ref="AK50:AK51"/>
    <mergeCell ref="AL50:AL51"/>
    <mergeCell ref="AM50:AN51"/>
    <mergeCell ref="AF50:AG51"/>
    <mergeCell ref="AH50:AH51"/>
    <mergeCell ref="AI50:AI51"/>
    <mergeCell ref="AJ50:AJ51"/>
    <mergeCell ref="AF48:AG49"/>
    <mergeCell ref="C17:D17"/>
    <mergeCell ref="R17:S17"/>
    <mergeCell ref="P37:R37"/>
    <mergeCell ref="F31:U31"/>
    <mergeCell ref="H37:O37"/>
    <mergeCell ref="R32:T32"/>
    <mergeCell ref="U17:V17"/>
    <mergeCell ref="U25:V25"/>
    <mergeCell ref="AF44:AG45"/>
  </mergeCells>
  <dataValidations count="1">
    <dataValidation type="list" allowBlank="1" showInputMessage="1" showErrorMessage="1" sqref="F31:U31">
      <formula1>$AH$36:$AH$37</formula1>
    </dataValidation>
  </dataValidations>
  <printOptions/>
  <pageMargins left="0.7874015748031497" right="0.3937007874015748" top="0.6" bottom="0.25" header="0.47" footer="0.11811023622047245"/>
  <pageSetup horizontalDpi="300" verticalDpi="300" orientation="portrait" paperSize="9" r:id="rId2"/>
  <rowBreaks count="1" manualBreakCount="1">
    <brk id="47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4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9" width="3.09765625" style="2" customWidth="1"/>
    <col min="10" max="10" width="3.3984375" style="2" customWidth="1"/>
    <col min="11" max="11" width="3.69921875" style="2" customWidth="1"/>
    <col min="12" max="31" width="3.09765625" style="2" customWidth="1"/>
    <col min="32" max="16384" width="4.69921875" style="2" customWidth="1"/>
  </cols>
  <sheetData>
    <row r="1" ht="22.5" customHeight="1">
      <c r="B1" s="488" t="s">
        <v>723</v>
      </c>
    </row>
    <row r="2" spans="1:35" ht="18" customHeight="1">
      <c r="A2" s="38"/>
      <c r="B2" s="485" t="s">
        <v>714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36"/>
      <c r="AC2" s="38"/>
      <c r="AD2" s="38"/>
      <c r="AE2" s="38"/>
      <c r="AF2" s="38"/>
      <c r="AG2" s="38"/>
      <c r="AH2" s="39"/>
      <c r="AI2" s="39"/>
    </row>
    <row r="3" spans="1:35" ht="18" customHeight="1">
      <c r="A3" s="38"/>
      <c r="B3" s="15"/>
      <c r="C3" s="6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36"/>
      <c r="AC3" s="38"/>
      <c r="AD3" s="38"/>
      <c r="AE3" s="38"/>
      <c r="AF3" s="38"/>
      <c r="AG3" s="38"/>
      <c r="AH3" s="39"/>
      <c r="AI3" s="39"/>
    </row>
    <row r="4" spans="1:35" ht="18" customHeight="1">
      <c r="A4" s="38"/>
      <c r="B4" s="15"/>
      <c r="C4" s="15"/>
      <c r="D4" s="15"/>
      <c r="E4" s="15"/>
      <c r="F4" s="15"/>
      <c r="G4" s="15"/>
      <c r="H4" s="15"/>
      <c r="I4" s="15"/>
      <c r="J4" s="15" t="s">
        <v>84</v>
      </c>
      <c r="K4" s="15"/>
      <c r="L4" s="15"/>
      <c r="M4" s="605" t="s">
        <v>77</v>
      </c>
      <c r="N4" s="605"/>
      <c r="O4" s="18"/>
      <c r="P4" s="15"/>
      <c r="Q4" s="15"/>
      <c r="R4" s="15"/>
      <c r="S4" s="15" t="s">
        <v>97</v>
      </c>
      <c r="T4" s="15"/>
      <c r="U4" s="15"/>
      <c r="V4" s="15"/>
      <c r="W4" s="15"/>
      <c r="X4" s="15"/>
      <c r="Y4" s="15"/>
      <c r="Z4" s="15"/>
      <c r="AA4" s="15"/>
      <c r="AB4" s="36"/>
      <c r="AC4" s="38"/>
      <c r="AD4" s="38"/>
      <c r="AE4" s="38"/>
      <c r="AF4" s="38"/>
      <c r="AG4" s="38"/>
      <c r="AH4" s="39"/>
      <c r="AI4" s="39"/>
    </row>
    <row r="5" spans="1:35" ht="18" customHeight="1">
      <c r="A5" s="3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6"/>
      <c r="AC5" s="38"/>
      <c r="AD5" s="38"/>
      <c r="AE5" s="38"/>
      <c r="AF5" s="38"/>
      <c r="AG5" s="38"/>
      <c r="AH5" s="39"/>
      <c r="AI5" s="39"/>
    </row>
    <row r="6" spans="1:35" ht="18" customHeight="1">
      <c r="A6" s="3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36"/>
      <c r="AC6" s="38"/>
      <c r="AD6" s="38"/>
      <c r="AE6" s="38"/>
      <c r="AF6" s="38"/>
      <c r="AG6" s="38"/>
      <c r="AH6" s="39"/>
      <c r="AI6" s="39"/>
    </row>
    <row r="7" spans="1:35" ht="18" customHeight="1">
      <c r="A7" s="3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36"/>
      <c r="AC7" s="38"/>
      <c r="AD7" s="38"/>
      <c r="AE7" s="38"/>
      <c r="AF7" s="38"/>
      <c r="AG7" s="38"/>
      <c r="AH7" s="39"/>
      <c r="AI7" s="39"/>
    </row>
    <row r="8" spans="1:35" ht="18" customHeight="1">
      <c r="A8" s="3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36"/>
      <c r="AC8" s="38"/>
      <c r="AD8" s="38"/>
      <c r="AE8" s="38"/>
      <c r="AF8" s="38"/>
      <c r="AG8" s="38"/>
      <c r="AH8" s="39"/>
      <c r="AI8" s="39"/>
    </row>
    <row r="9" spans="1:35" ht="18" customHeight="1">
      <c r="A9" s="38"/>
      <c r="B9" s="15"/>
      <c r="C9" s="15"/>
      <c r="D9" s="15"/>
      <c r="E9" s="15"/>
      <c r="F9" s="15"/>
      <c r="G9" s="15"/>
      <c r="H9" s="15"/>
      <c r="I9" s="15"/>
      <c r="J9" s="15"/>
      <c r="K9" s="38"/>
      <c r="L9" s="15"/>
      <c r="M9" s="15"/>
      <c r="N9" s="15"/>
      <c r="O9" s="15" t="s">
        <v>85</v>
      </c>
      <c r="P9" s="15"/>
      <c r="Q9" s="15"/>
      <c r="R9" s="15"/>
      <c r="S9" s="15"/>
      <c r="T9" s="15"/>
      <c r="U9" s="15" t="s">
        <v>155</v>
      </c>
      <c r="V9" s="15"/>
      <c r="W9" s="15"/>
      <c r="X9" s="15"/>
      <c r="Y9" s="15"/>
      <c r="Z9" s="15"/>
      <c r="AA9" s="15"/>
      <c r="AB9" s="36"/>
      <c r="AC9" s="38"/>
      <c r="AD9" s="38"/>
      <c r="AE9" s="38"/>
      <c r="AF9" s="38"/>
      <c r="AG9" s="38"/>
      <c r="AH9" s="39"/>
      <c r="AI9" s="39"/>
    </row>
    <row r="10" spans="1:35" ht="18" customHeight="1">
      <c r="A10" s="38"/>
      <c r="B10" s="15"/>
      <c r="C10" s="15"/>
      <c r="D10" s="15"/>
      <c r="E10" s="15"/>
      <c r="F10" s="15"/>
      <c r="G10" s="15"/>
      <c r="H10" s="15"/>
      <c r="I10" s="15"/>
      <c r="J10" s="15"/>
      <c r="K10" s="38"/>
      <c r="L10" s="15" t="s">
        <v>78</v>
      </c>
      <c r="M10" s="669">
        <v>2000</v>
      </c>
      <c r="N10" s="670"/>
      <c r="O10" s="170" t="s">
        <v>96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36"/>
      <c r="AC10" s="38"/>
      <c r="AD10" s="38"/>
      <c r="AE10" s="38"/>
      <c r="AF10" s="38"/>
      <c r="AG10" s="38"/>
      <c r="AH10" s="39"/>
      <c r="AI10" s="39"/>
    </row>
    <row r="11" spans="1:35" ht="18" customHeight="1">
      <c r="A11" s="3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6"/>
      <c r="AC11" s="38"/>
      <c r="AD11" s="38"/>
      <c r="AE11" s="38"/>
      <c r="AF11" s="38"/>
      <c r="AG11" s="38"/>
      <c r="AH11" s="39"/>
      <c r="AI11" s="39"/>
    </row>
    <row r="12" spans="1:35" ht="18" customHeight="1">
      <c r="A12" s="3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36"/>
      <c r="AC12" s="38"/>
      <c r="AD12" s="38"/>
      <c r="AE12" s="38"/>
      <c r="AF12" s="38"/>
      <c r="AG12" s="38"/>
      <c r="AH12" s="39"/>
      <c r="AI12" s="39"/>
    </row>
    <row r="13" spans="1:35" ht="18" customHeight="1">
      <c r="A13" s="38"/>
      <c r="B13" s="15"/>
      <c r="C13" s="15"/>
      <c r="D13" s="15"/>
      <c r="E13" s="15" t="s">
        <v>76</v>
      </c>
      <c r="F13" s="15"/>
      <c r="G13" s="15"/>
      <c r="H13" s="15"/>
      <c r="I13" s="15"/>
      <c r="J13" s="15"/>
      <c r="K13" s="15"/>
      <c r="L13" s="15"/>
      <c r="M13" s="15"/>
      <c r="N13" s="15"/>
      <c r="O13" s="38"/>
      <c r="P13" s="127"/>
      <c r="Q13" s="18"/>
      <c r="R13" s="19" t="s">
        <v>152</v>
      </c>
      <c r="S13" s="29"/>
      <c r="T13" s="18"/>
      <c r="U13" s="15"/>
      <c r="V13" s="19" t="s">
        <v>160</v>
      </c>
      <c r="W13" s="591">
        <f>'足場板'!$R$32</f>
        <v>1860</v>
      </c>
      <c r="X13" s="553"/>
      <c r="Y13" s="553"/>
      <c r="Z13" s="15" t="s">
        <v>95</v>
      </c>
      <c r="AA13" s="15"/>
      <c r="AB13" s="36"/>
      <c r="AC13" s="38"/>
      <c r="AD13" s="38"/>
      <c r="AE13" s="38"/>
      <c r="AF13" s="38"/>
      <c r="AG13" s="38"/>
      <c r="AH13" s="39"/>
      <c r="AI13" s="39"/>
    </row>
    <row r="14" spans="1:35" ht="18" customHeight="1">
      <c r="A14" s="38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30"/>
      <c r="P14" s="30"/>
      <c r="Q14" s="18"/>
      <c r="R14" s="29"/>
      <c r="S14" s="29"/>
      <c r="T14" s="15"/>
      <c r="U14" s="15"/>
      <c r="V14" s="15"/>
      <c r="W14" s="15"/>
      <c r="X14" s="15"/>
      <c r="Y14" s="15"/>
      <c r="Z14" s="15"/>
      <c r="AA14" s="15"/>
      <c r="AB14" s="36"/>
      <c r="AC14" s="38"/>
      <c r="AD14" s="38"/>
      <c r="AE14" s="38"/>
      <c r="AF14" s="38"/>
      <c r="AG14" s="38"/>
      <c r="AH14" s="39"/>
      <c r="AI14" s="39"/>
    </row>
    <row r="15" spans="1:35" ht="18" customHeight="1">
      <c r="A15" s="38"/>
      <c r="B15" s="15"/>
      <c r="C15" s="15"/>
      <c r="D15" s="15"/>
      <c r="E15" s="15" t="s">
        <v>75</v>
      </c>
      <c r="F15" s="15"/>
      <c r="G15" s="15"/>
      <c r="H15" s="15"/>
      <c r="I15" s="15"/>
      <c r="J15" s="15" t="s">
        <v>99</v>
      </c>
      <c r="K15" s="15"/>
      <c r="L15" s="38"/>
      <c r="M15" s="15"/>
      <c r="N15" s="15"/>
      <c r="O15" s="15"/>
      <c r="P15" s="15"/>
      <c r="Q15" s="15"/>
      <c r="R15" s="15"/>
      <c r="S15" s="15"/>
      <c r="T15" s="15"/>
      <c r="U15" s="15"/>
      <c r="V15" s="19" t="s">
        <v>160</v>
      </c>
      <c r="W15" s="658">
        <f>'足場板'!$R$23</f>
        <v>40</v>
      </c>
      <c r="X15" s="659"/>
      <c r="Y15" s="659"/>
      <c r="Z15" s="15" t="s">
        <v>130</v>
      </c>
      <c r="AA15" s="15"/>
      <c r="AB15" s="36"/>
      <c r="AC15" s="38"/>
      <c r="AD15" s="38"/>
      <c r="AE15" s="38"/>
      <c r="AF15" s="38"/>
      <c r="AG15" s="38"/>
      <c r="AH15" s="39"/>
      <c r="AI15" s="39"/>
    </row>
    <row r="16" spans="1:35" ht="18" customHeight="1">
      <c r="A16" s="38"/>
      <c r="B16" s="15"/>
      <c r="C16" s="15"/>
      <c r="D16" s="15"/>
      <c r="E16" s="15"/>
      <c r="F16" s="15"/>
      <c r="G16" s="15"/>
      <c r="H16" s="15"/>
      <c r="I16" s="124"/>
      <c r="J16" s="124" t="s">
        <v>83</v>
      </c>
      <c r="K16" s="124"/>
      <c r="L16" s="124"/>
      <c r="M16" s="124"/>
      <c r="N16" s="667">
        <f>'足場板'!$X$27</f>
        <v>184</v>
      </c>
      <c r="O16" s="668"/>
      <c r="P16" s="21" t="s">
        <v>192</v>
      </c>
      <c r="Q16" s="22"/>
      <c r="R16" s="22" t="s">
        <v>161</v>
      </c>
      <c r="S16" s="663">
        <f>'足場板'!$M$55/1000</f>
        <v>0.9</v>
      </c>
      <c r="T16" s="663"/>
      <c r="U16" s="23" t="s">
        <v>151</v>
      </c>
      <c r="V16" s="117" t="s">
        <v>160</v>
      </c>
      <c r="W16" s="660">
        <f>$N$16*$S$16</f>
        <v>166</v>
      </c>
      <c r="X16" s="661"/>
      <c r="Y16" s="661"/>
      <c r="Z16" s="124" t="s">
        <v>130</v>
      </c>
      <c r="AA16" s="124"/>
      <c r="AB16" s="36"/>
      <c r="AC16" s="38"/>
      <c r="AD16" s="38"/>
      <c r="AE16" s="38"/>
      <c r="AF16" s="38"/>
      <c r="AG16" s="38"/>
      <c r="AH16" s="39"/>
      <c r="AI16" s="39"/>
    </row>
    <row r="17" spans="1:35" ht="18" customHeight="1">
      <c r="A17" s="38"/>
      <c r="B17" s="15"/>
      <c r="C17" s="15"/>
      <c r="D17" s="15"/>
      <c r="E17" s="15"/>
      <c r="F17" s="15"/>
      <c r="G17" s="15"/>
      <c r="H17" s="15"/>
      <c r="I17" s="121"/>
      <c r="J17" s="128"/>
      <c r="K17" s="128"/>
      <c r="L17" s="129"/>
      <c r="M17" s="129"/>
      <c r="N17" s="130"/>
      <c r="O17" s="120"/>
      <c r="P17" s="120"/>
      <c r="Q17" s="129"/>
      <c r="R17" s="120" t="s">
        <v>193</v>
      </c>
      <c r="S17" s="121"/>
      <c r="T17" s="131"/>
      <c r="U17" s="132"/>
      <c r="V17" s="120" t="s">
        <v>160</v>
      </c>
      <c r="W17" s="664">
        <f>$W$15+$W$16</f>
        <v>206</v>
      </c>
      <c r="X17" s="665"/>
      <c r="Y17" s="665"/>
      <c r="Z17" s="121" t="s">
        <v>130</v>
      </c>
      <c r="AA17" s="121"/>
      <c r="AB17" s="36"/>
      <c r="AC17" s="38"/>
      <c r="AD17" s="38"/>
      <c r="AE17" s="38"/>
      <c r="AF17" s="38"/>
      <c r="AG17" s="38"/>
      <c r="AH17" s="39"/>
      <c r="AI17" s="39"/>
    </row>
    <row r="18" spans="1:35" ht="18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6"/>
      <c r="AA18" s="38"/>
      <c r="AB18" s="38"/>
      <c r="AC18" s="38"/>
      <c r="AD18" s="38"/>
      <c r="AE18" s="38"/>
      <c r="AF18" s="38"/>
      <c r="AG18" s="38"/>
      <c r="AH18" s="39"/>
      <c r="AI18" s="39"/>
    </row>
    <row r="19" spans="1:35" ht="18" customHeight="1">
      <c r="A19" s="15"/>
      <c r="B19" s="15"/>
      <c r="C19" s="15" t="s">
        <v>172</v>
      </c>
      <c r="D19" s="15"/>
      <c r="E19" s="15"/>
      <c r="F19" s="15"/>
      <c r="G19" s="15"/>
      <c r="H19" s="15"/>
      <c r="I19" s="15"/>
      <c r="J19" s="133"/>
      <c r="K19" s="133"/>
      <c r="L19" s="15"/>
      <c r="M19" s="15"/>
      <c r="N19" s="15"/>
      <c r="O19" s="91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6"/>
      <c r="AA19" s="38"/>
      <c r="AB19" s="38"/>
      <c r="AC19" s="38"/>
      <c r="AD19" s="38"/>
      <c r="AE19" s="38"/>
      <c r="AF19" s="38"/>
      <c r="AG19" s="38"/>
      <c r="AH19" s="39"/>
      <c r="AI19" s="39"/>
    </row>
    <row r="20" spans="1:35" ht="18" customHeight="1">
      <c r="A20" s="15"/>
      <c r="B20" s="15"/>
      <c r="C20" s="15"/>
      <c r="D20" s="605" t="s">
        <v>173</v>
      </c>
      <c r="E20" s="605" t="s">
        <v>174</v>
      </c>
      <c r="F20" s="647" t="s">
        <v>175</v>
      </c>
      <c r="G20" s="647"/>
      <c r="H20" s="605" t="s">
        <v>79</v>
      </c>
      <c r="I20" s="647" t="s">
        <v>176</v>
      </c>
      <c r="J20" s="647"/>
      <c r="K20" s="19"/>
      <c r="L20" s="15"/>
      <c r="M20" s="15"/>
      <c r="N20" s="15"/>
      <c r="O20" s="91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6"/>
      <c r="AA20" s="38"/>
      <c r="AB20" s="38"/>
      <c r="AC20" s="38"/>
      <c r="AD20" s="38"/>
      <c r="AE20" s="38"/>
      <c r="AF20" s="38"/>
      <c r="AG20" s="38"/>
      <c r="AH20" s="39"/>
      <c r="AI20" s="39"/>
    </row>
    <row r="21" spans="1:35" ht="18" customHeight="1">
      <c r="A21" s="15"/>
      <c r="B21" s="15"/>
      <c r="C21" s="15"/>
      <c r="D21" s="605"/>
      <c r="E21" s="605"/>
      <c r="F21" s="605">
        <v>4</v>
      </c>
      <c r="G21" s="605"/>
      <c r="H21" s="605"/>
      <c r="I21" s="605">
        <v>8</v>
      </c>
      <c r="J21" s="605"/>
      <c r="K21" s="15"/>
      <c r="L21" s="15"/>
      <c r="M21" s="15"/>
      <c r="N21" s="15"/>
      <c r="O21" s="91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6"/>
      <c r="AA21" s="38"/>
      <c r="AB21" s="38"/>
      <c r="AC21" s="38"/>
      <c r="AD21" s="38"/>
      <c r="AE21" s="38"/>
      <c r="AF21" s="38"/>
      <c r="AG21" s="38"/>
      <c r="AH21" s="39"/>
      <c r="AI21" s="39"/>
    </row>
    <row r="22" spans="1:35" ht="18" customHeight="1">
      <c r="A22" s="15"/>
      <c r="B22" s="15"/>
      <c r="C22" s="15"/>
      <c r="D22" s="19"/>
      <c r="E22" s="19"/>
      <c r="F22" s="656">
        <f>$W$13</f>
        <v>1860</v>
      </c>
      <c r="G22" s="623"/>
      <c r="H22" s="623"/>
      <c r="I22" s="17" t="s">
        <v>69</v>
      </c>
      <c r="J22" s="672">
        <f>$M$10/1000</f>
        <v>2</v>
      </c>
      <c r="K22" s="672"/>
      <c r="L22" s="605" t="s">
        <v>79</v>
      </c>
      <c r="M22" s="656">
        <f>$W$17</f>
        <v>206</v>
      </c>
      <c r="N22" s="656"/>
      <c r="O22" s="17" t="s">
        <v>69</v>
      </c>
      <c r="P22" s="671">
        <f>$M$10/1000</f>
        <v>2</v>
      </c>
      <c r="Q22" s="671"/>
      <c r="R22" s="24">
        <v>2</v>
      </c>
      <c r="S22" s="605" t="s">
        <v>174</v>
      </c>
      <c r="T22" s="611">
        <f>F22*J22/I23+M22*P22^2/O23</f>
        <v>1033</v>
      </c>
      <c r="U22" s="611"/>
      <c r="V22" s="662" t="s">
        <v>178</v>
      </c>
      <c r="W22" s="662"/>
      <c r="X22" s="15"/>
      <c r="Y22" s="15"/>
      <c r="Z22" s="36"/>
      <c r="AA22" s="38"/>
      <c r="AB22" s="38"/>
      <c r="AC22" s="38"/>
      <c r="AD22" s="38"/>
      <c r="AE22" s="38"/>
      <c r="AF22" s="38"/>
      <c r="AG22" s="38"/>
      <c r="AH22" s="39"/>
      <c r="AI22" s="39"/>
    </row>
    <row r="23" spans="1:35" ht="18" customHeight="1">
      <c r="A23" s="15"/>
      <c r="B23" s="15"/>
      <c r="C23" s="15"/>
      <c r="D23" s="19"/>
      <c r="E23" s="19"/>
      <c r="F23" s="121"/>
      <c r="G23" s="121"/>
      <c r="H23" s="121"/>
      <c r="I23" s="19">
        <v>4</v>
      </c>
      <c r="J23" s="15"/>
      <c r="K23" s="15"/>
      <c r="L23" s="605"/>
      <c r="M23" s="18"/>
      <c r="N23" s="15"/>
      <c r="O23" s="19">
        <v>8</v>
      </c>
      <c r="P23" s="15"/>
      <c r="Q23" s="15"/>
      <c r="R23" s="15"/>
      <c r="S23" s="605"/>
      <c r="T23" s="611"/>
      <c r="U23" s="611"/>
      <c r="V23" s="662"/>
      <c r="W23" s="662"/>
      <c r="X23" s="15"/>
      <c r="Y23" s="15"/>
      <c r="Z23" s="36"/>
      <c r="AA23" s="38"/>
      <c r="AB23" s="38"/>
      <c r="AC23" s="38"/>
      <c r="AD23" s="38"/>
      <c r="AE23" s="38"/>
      <c r="AF23" s="38"/>
      <c r="AG23" s="38"/>
      <c r="AH23" s="39"/>
      <c r="AI23" s="39"/>
    </row>
    <row r="24" spans="1:35" ht="18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6"/>
      <c r="AA24" s="38"/>
      <c r="AB24" s="38"/>
      <c r="AC24" s="38"/>
      <c r="AD24" s="38"/>
      <c r="AE24" s="38"/>
      <c r="AF24" s="38"/>
      <c r="AG24" s="38"/>
      <c r="AH24" s="39"/>
      <c r="AI24" s="39"/>
    </row>
    <row r="25" spans="1:35" ht="18" customHeight="1">
      <c r="A25" s="15"/>
      <c r="B25" s="15"/>
      <c r="C25" s="15" t="s">
        <v>159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91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6"/>
      <c r="AA25" s="38"/>
      <c r="AB25" s="38"/>
      <c r="AC25" s="38"/>
      <c r="AD25" s="38"/>
      <c r="AE25" s="38"/>
      <c r="AF25" s="38"/>
      <c r="AG25" s="38"/>
      <c r="AH25" s="39"/>
      <c r="AI25" s="39"/>
    </row>
    <row r="26" spans="1:35" ht="18" customHeight="1">
      <c r="A26" s="15"/>
      <c r="B26" s="15"/>
      <c r="C26" s="15"/>
      <c r="D26" s="605" t="s">
        <v>179</v>
      </c>
      <c r="E26" s="605" t="s">
        <v>174</v>
      </c>
      <c r="F26" s="647" t="s">
        <v>80</v>
      </c>
      <c r="G26" s="647"/>
      <c r="H26" s="605" t="s">
        <v>68</v>
      </c>
      <c r="I26" s="620">
        <f>$T$22*1000</f>
        <v>1033000</v>
      </c>
      <c r="J26" s="620"/>
      <c r="K26" s="620"/>
      <c r="L26" s="605" t="s">
        <v>68</v>
      </c>
      <c r="M26" s="673">
        <f>$I$26/$I$27</f>
        <v>109</v>
      </c>
      <c r="N26" s="673"/>
      <c r="O26" s="618" t="s">
        <v>180</v>
      </c>
      <c r="P26" s="618"/>
      <c r="Q26" s="605" t="str">
        <f>IF($M$26&lt;=$T$26,"＜","＞")</f>
        <v>＜</v>
      </c>
      <c r="R26" s="612" t="s">
        <v>181</v>
      </c>
      <c r="S26" s="612"/>
      <c r="T26" s="572">
        <f>VLOOKUP('使用材一覧'!$N$13,'使用材一覧'!$AC$7:$AJ$13,6,FALSE)</f>
        <v>165</v>
      </c>
      <c r="U26" s="572"/>
      <c r="V26" s="644" t="s">
        <v>182</v>
      </c>
      <c r="W26" s="644"/>
      <c r="X26" s="610">
        <f>IF($M$26&lt;=$T$26,"","NG")</f>
      </c>
      <c r="Y26" s="610"/>
      <c r="Z26" s="610"/>
      <c r="AA26" s="610"/>
      <c r="AB26" s="38"/>
      <c r="AC26" s="38"/>
      <c r="AD26" s="38"/>
      <c r="AE26" s="38"/>
      <c r="AF26" s="38"/>
      <c r="AG26" s="38"/>
      <c r="AH26" s="39"/>
      <c r="AI26" s="39"/>
    </row>
    <row r="27" spans="1:35" ht="18" customHeight="1">
      <c r="A27" s="15"/>
      <c r="B27" s="15"/>
      <c r="C27" s="15"/>
      <c r="D27" s="605"/>
      <c r="E27" s="605"/>
      <c r="F27" s="605" t="s">
        <v>81</v>
      </c>
      <c r="G27" s="605"/>
      <c r="H27" s="605"/>
      <c r="I27" s="611">
        <f>VLOOKUP('使用材一覧'!$N$13,'使用材一覧'!$AC$7:$AJ$13,4,FALSE)</f>
        <v>9440</v>
      </c>
      <c r="J27" s="611"/>
      <c r="K27" s="611"/>
      <c r="L27" s="605"/>
      <c r="M27" s="673"/>
      <c r="N27" s="673"/>
      <c r="O27" s="618"/>
      <c r="P27" s="618"/>
      <c r="Q27" s="605"/>
      <c r="R27" s="612"/>
      <c r="S27" s="612"/>
      <c r="T27" s="572"/>
      <c r="U27" s="572"/>
      <c r="V27" s="644"/>
      <c r="W27" s="644"/>
      <c r="X27" s="610"/>
      <c r="Y27" s="610"/>
      <c r="Z27" s="610"/>
      <c r="AA27" s="610"/>
      <c r="AB27" s="38"/>
      <c r="AC27" s="38"/>
      <c r="AD27" s="38"/>
      <c r="AE27" s="38"/>
      <c r="AF27" s="38"/>
      <c r="AG27" s="38"/>
      <c r="AH27" s="39"/>
      <c r="AI27" s="39"/>
    </row>
    <row r="28" spans="1:35" ht="18" customHeight="1">
      <c r="A28" s="15"/>
      <c r="B28" s="15"/>
      <c r="C28" s="15"/>
      <c r="D28" s="15"/>
      <c r="E28" s="15"/>
      <c r="F28" s="38"/>
      <c r="G28" s="18"/>
      <c r="H28" s="15"/>
      <c r="I28" s="15"/>
      <c r="J28" s="38"/>
      <c r="K28" s="28"/>
      <c r="L28" s="15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9"/>
      <c r="AI28" s="39"/>
    </row>
    <row r="29" spans="1:35" ht="18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9"/>
      <c r="AI29" s="39"/>
    </row>
    <row r="30" spans="1:35" ht="18" customHeight="1">
      <c r="A30" s="15"/>
      <c r="B30" s="15"/>
      <c r="C30" s="15" t="s">
        <v>82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6"/>
      <c r="AA30" s="38"/>
      <c r="AB30" s="38"/>
      <c r="AC30" s="38"/>
      <c r="AD30" s="38"/>
      <c r="AE30" s="38"/>
      <c r="AF30" s="38"/>
      <c r="AG30" s="38"/>
      <c r="AH30" s="39"/>
      <c r="AI30" s="39"/>
    </row>
    <row r="31" spans="1:35" ht="18" customHeight="1">
      <c r="A31" s="15"/>
      <c r="B31" s="15"/>
      <c r="C31" s="15"/>
      <c r="D31" s="15"/>
      <c r="E31" s="15"/>
      <c r="F31" s="15"/>
      <c r="G31" s="15"/>
      <c r="H31" s="118"/>
      <c r="I31" s="118"/>
      <c r="J31" s="118"/>
      <c r="K31" s="118"/>
      <c r="L31" s="11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6"/>
      <c r="AA31" s="38"/>
      <c r="AB31" s="38"/>
      <c r="AC31" s="38"/>
      <c r="AD31" s="38"/>
      <c r="AE31" s="38"/>
      <c r="AF31" s="38"/>
      <c r="AG31" s="38"/>
      <c r="AH31" s="39"/>
      <c r="AI31" s="39"/>
    </row>
    <row r="32" spans="1:35" ht="18" customHeight="1">
      <c r="A32" s="15"/>
      <c r="B32" s="15"/>
      <c r="C32" s="15"/>
      <c r="D32" s="605" t="s">
        <v>183</v>
      </c>
      <c r="E32" s="605" t="s">
        <v>174</v>
      </c>
      <c r="F32" s="647" t="s">
        <v>184</v>
      </c>
      <c r="G32" s="647"/>
      <c r="H32" s="647"/>
      <c r="I32" s="647"/>
      <c r="J32" s="605" t="s">
        <v>79</v>
      </c>
      <c r="K32" s="651" t="s">
        <v>185</v>
      </c>
      <c r="L32" s="651"/>
      <c r="M32" s="651"/>
      <c r="N32" s="651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6"/>
      <c r="AA32" s="38"/>
      <c r="AB32" s="38"/>
      <c r="AC32" s="38"/>
      <c r="AD32" s="38"/>
      <c r="AE32" s="38"/>
      <c r="AF32" s="38"/>
      <c r="AG32" s="38"/>
      <c r="AH32" s="39"/>
      <c r="AI32" s="39"/>
    </row>
    <row r="33" spans="1:35" ht="18" customHeight="1">
      <c r="A33" s="15"/>
      <c r="B33" s="15"/>
      <c r="C33" s="15"/>
      <c r="D33" s="605"/>
      <c r="E33" s="605"/>
      <c r="F33" s="649" t="s">
        <v>186</v>
      </c>
      <c r="G33" s="649"/>
      <c r="H33" s="649"/>
      <c r="I33" s="649"/>
      <c r="J33" s="605"/>
      <c r="K33" s="649" t="s">
        <v>187</v>
      </c>
      <c r="L33" s="649"/>
      <c r="M33" s="649"/>
      <c r="N33" s="649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6"/>
      <c r="AA33" s="38"/>
      <c r="AB33" s="38"/>
      <c r="AC33" s="38"/>
      <c r="AD33" s="38"/>
      <c r="AE33" s="38"/>
      <c r="AF33" s="38"/>
      <c r="AG33" s="38"/>
      <c r="AH33" s="39"/>
      <c r="AI33" s="39"/>
    </row>
    <row r="34" spans="1:35" ht="18" customHeight="1">
      <c r="A34" s="15"/>
      <c r="B34" s="15"/>
      <c r="C34" s="15"/>
      <c r="D34" s="19"/>
      <c r="E34" s="605" t="s">
        <v>174</v>
      </c>
      <c r="F34" s="656">
        <f>$W$13</f>
        <v>1860</v>
      </c>
      <c r="G34" s="623"/>
      <c r="H34" s="623"/>
      <c r="I34" s="17" t="s">
        <v>69</v>
      </c>
      <c r="J34" s="656">
        <f>$M$10</f>
        <v>2000</v>
      </c>
      <c r="K34" s="656"/>
      <c r="L34" s="657"/>
      <c r="M34" s="134" t="s">
        <v>188</v>
      </c>
      <c r="N34" s="124"/>
      <c r="O34" s="605" t="s">
        <v>79</v>
      </c>
      <c r="P34" s="614">
        <v>5</v>
      </c>
      <c r="Q34" s="614"/>
      <c r="R34" s="17" t="s">
        <v>69</v>
      </c>
      <c r="S34" s="666">
        <f>$W$17/1000</f>
        <v>0.206</v>
      </c>
      <c r="T34" s="666"/>
      <c r="U34" s="614"/>
      <c r="V34" s="17" t="s">
        <v>69</v>
      </c>
      <c r="W34" s="656">
        <f>$M$10</f>
        <v>2000</v>
      </c>
      <c r="X34" s="656"/>
      <c r="Y34" s="623"/>
      <c r="Z34" s="134" t="s">
        <v>189</v>
      </c>
      <c r="AA34" s="38"/>
      <c r="AB34" s="38"/>
      <c r="AC34" s="38"/>
      <c r="AD34" s="38"/>
      <c r="AE34" s="38"/>
      <c r="AF34" s="38"/>
      <c r="AG34" s="38"/>
      <c r="AH34" s="39"/>
      <c r="AI34" s="39"/>
    </row>
    <row r="35" spans="1:35" ht="18" customHeight="1">
      <c r="A35" s="15"/>
      <c r="B35" s="15"/>
      <c r="C35" s="15"/>
      <c r="D35" s="19"/>
      <c r="E35" s="605"/>
      <c r="F35" s="15">
        <v>48</v>
      </c>
      <c r="G35" s="15" t="s">
        <v>190</v>
      </c>
      <c r="H35" s="541">
        <f>VLOOKUP('使用材一覧'!$N$13,'使用材一覧'!$AC$7:$AJ$13,5,FALSE)</f>
        <v>200000</v>
      </c>
      <c r="I35" s="541"/>
      <c r="J35" s="541"/>
      <c r="K35" s="18" t="s">
        <v>69</v>
      </c>
      <c r="L35" s="541">
        <f>VLOOKUP('使用材一覧'!$N$13,'使用材一覧'!$AC$7:$AJ$13,3,FALSE)</f>
        <v>283000</v>
      </c>
      <c r="M35" s="541"/>
      <c r="N35" s="541"/>
      <c r="O35" s="605"/>
      <c r="P35" s="605">
        <v>384</v>
      </c>
      <c r="Q35" s="605"/>
      <c r="R35" s="18" t="s">
        <v>69</v>
      </c>
      <c r="S35" s="541">
        <f>VLOOKUP('使用材一覧'!$N$13,'使用材一覧'!$AC$7:$AJ$13,5,FALSE)</f>
        <v>200000</v>
      </c>
      <c r="T35" s="541"/>
      <c r="U35" s="541"/>
      <c r="V35" s="18" t="s">
        <v>69</v>
      </c>
      <c r="W35" s="541">
        <f>VLOOKUP('使用材一覧'!$N$13,'使用材一覧'!$AC$7:$AJ$13,3,FALSE)</f>
        <v>283000</v>
      </c>
      <c r="X35" s="541"/>
      <c r="Y35" s="541"/>
      <c r="Z35" s="36"/>
      <c r="AA35" s="38"/>
      <c r="AB35" s="38"/>
      <c r="AC35" s="38"/>
      <c r="AD35" s="38"/>
      <c r="AE35" s="38"/>
      <c r="AF35" s="38"/>
      <c r="AG35" s="38"/>
      <c r="AH35" s="39"/>
      <c r="AI35" s="39"/>
    </row>
    <row r="36" spans="1:35" ht="18" customHeight="1">
      <c r="A36" s="15"/>
      <c r="B36" s="15"/>
      <c r="C36" s="15"/>
      <c r="D36" s="18"/>
      <c r="E36" s="1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6"/>
      <c r="AA36" s="38"/>
      <c r="AB36" s="38"/>
      <c r="AC36" s="38"/>
      <c r="AD36" s="38"/>
      <c r="AE36" s="38"/>
      <c r="AF36" s="38"/>
      <c r="AG36" s="38"/>
      <c r="AH36" s="39"/>
      <c r="AI36" s="39"/>
    </row>
    <row r="37" spans="1:35" ht="18" customHeight="1">
      <c r="A37" s="15"/>
      <c r="B37" s="15"/>
      <c r="C37" s="15"/>
      <c r="D37" s="19"/>
      <c r="E37" s="19" t="s">
        <v>174</v>
      </c>
      <c r="F37" s="611">
        <f>G34*J34^3/(F35*H35*L35)+P34*S34*W34^4/(P35*S35*W35)</f>
        <v>1</v>
      </c>
      <c r="G37" s="611"/>
      <c r="H37" s="15" t="s">
        <v>191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6"/>
      <c r="AA37" s="38"/>
      <c r="AB37" s="38"/>
      <c r="AC37" s="38"/>
      <c r="AD37" s="38"/>
      <c r="AE37" s="38"/>
      <c r="AF37" s="38"/>
      <c r="AG37" s="38"/>
      <c r="AH37" s="39"/>
      <c r="AI37" s="39"/>
    </row>
    <row r="38" spans="1:35" ht="13.5">
      <c r="A38" s="3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8"/>
      <c r="AD38" s="38"/>
      <c r="AE38" s="38"/>
      <c r="AF38" s="38"/>
      <c r="AG38" s="38"/>
      <c r="AH38" s="39"/>
      <c r="AI38" s="39"/>
    </row>
    <row r="39" spans="1:35" ht="13.5">
      <c r="A39" s="3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8"/>
      <c r="AD39" s="38"/>
      <c r="AE39" s="38"/>
      <c r="AF39" s="38"/>
      <c r="AG39" s="38"/>
      <c r="AH39" s="39"/>
      <c r="AI39" s="39"/>
    </row>
    <row r="40" spans="1:35" ht="13.5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8"/>
      <c r="AD40" s="38"/>
      <c r="AE40" s="38"/>
      <c r="AF40" s="38"/>
      <c r="AG40" s="38"/>
      <c r="AH40" s="39"/>
      <c r="AI40" s="39"/>
    </row>
    <row r="41" spans="1:35" ht="13.5">
      <c r="A41" s="38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8"/>
      <c r="AD41" s="38"/>
      <c r="AE41" s="38"/>
      <c r="AF41" s="38"/>
      <c r="AG41" s="38"/>
      <c r="AH41" s="39"/>
      <c r="AI41" s="39"/>
    </row>
    <row r="42" spans="1:35" ht="13.5">
      <c r="A42" s="3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8"/>
      <c r="AD42" s="38"/>
      <c r="AE42" s="38"/>
      <c r="AF42" s="38"/>
      <c r="AG42" s="38"/>
      <c r="AH42" s="39"/>
      <c r="AI42" s="39"/>
    </row>
    <row r="43" spans="1:35" ht="13.5">
      <c r="A43" s="38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8"/>
      <c r="AD43" s="38"/>
      <c r="AE43" s="38"/>
      <c r="AF43" s="38"/>
      <c r="AG43" s="38"/>
      <c r="AH43" s="39"/>
      <c r="AI43" s="39"/>
    </row>
    <row r="44" spans="1:35" ht="13.5">
      <c r="A44" s="3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8"/>
      <c r="AD44" s="38"/>
      <c r="AE44" s="38"/>
      <c r="AF44" s="38"/>
      <c r="AG44" s="38"/>
      <c r="AH44" s="39"/>
      <c r="AI44" s="39"/>
    </row>
    <row r="45" spans="1:35" ht="13.5">
      <c r="A45" s="3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8"/>
      <c r="AD45" s="38"/>
      <c r="AE45" s="38"/>
      <c r="AF45" s="38"/>
      <c r="AG45" s="38"/>
      <c r="AH45" s="39"/>
      <c r="AI45" s="39"/>
    </row>
    <row r="46" spans="1:35" ht="13.5">
      <c r="A46" s="3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8"/>
      <c r="AD46" s="38"/>
      <c r="AE46" s="38"/>
      <c r="AF46" s="38"/>
      <c r="AG46" s="38"/>
      <c r="AH46" s="39"/>
      <c r="AI46" s="39"/>
    </row>
    <row r="47" spans="1:35" ht="13.5">
      <c r="A47" s="38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8"/>
      <c r="AD47" s="38"/>
      <c r="AE47" s="38"/>
      <c r="AF47" s="38"/>
      <c r="AG47" s="38"/>
      <c r="AH47" s="39"/>
      <c r="AI47" s="39"/>
    </row>
    <row r="48" spans="1:33" ht="13.5">
      <c r="A48" s="1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4"/>
      <c r="AD48" s="14"/>
      <c r="AE48" s="14"/>
      <c r="AF48" s="14"/>
      <c r="AG48" s="14"/>
    </row>
    <row r="49" spans="1:3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3"/>
      <c r="AC49" s="14"/>
      <c r="AD49" s="14"/>
      <c r="AE49" s="14"/>
      <c r="AF49" s="14"/>
      <c r="AG49" s="14"/>
    </row>
    <row r="50" spans="1:33" ht="13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3"/>
      <c r="AC50" s="14"/>
      <c r="AD50" s="14"/>
      <c r="AE50" s="14"/>
      <c r="AF50" s="14"/>
      <c r="AG50" s="14"/>
    </row>
    <row r="51" spans="1:33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ht="13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3.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</sheetData>
  <sheetProtection sheet="1" objects="1" scenarios="1"/>
  <mergeCells count="58">
    <mergeCell ref="V26:W27"/>
    <mergeCell ref="D26:D27"/>
    <mergeCell ref="E26:E27"/>
    <mergeCell ref="X26:AA27"/>
    <mergeCell ref="F27:G27"/>
    <mergeCell ref="I27:K27"/>
    <mergeCell ref="L26:L27"/>
    <mergeCell ref="M26:N27"/>
    <mergeCell ref="O26:P27"/>
    <mergeCell ref="Q26:Q27"/>
    <mergeCell ref="T26:U27"/>
    <mergeCell ref="K33:N33"/>
    <mergeCell ref="P22:Q22"/>
    <mergeCell ref="J22:K22"/>
    <mergeCell ref="F37:G37"/>
    <mergeCell ref="L35:N35"/>
    <mergeCell ref="F22:H22"/>
    <mergeCell ref="L22:L23"/>
    <mergeCell ref="F26:G26"/>
    <mergeCell ref="H26:H27"/>
    <mergeCell ref="I26:K26"/>
    <mergeCell ref="M4:N4"/>
    <mergeCell ref="N16:O16"/>
    <mergeCell ref="M22:N22"/>
    <mergeCell ref="M10:N10"/>
    <mergeCell ref="D20:D21"/>
    <mergeCell ref="E20:E21"/>
    <mergeCell ref="W35:Y35"/>
    <mergeCell ref="S35:U35"/>
    <mergeCell ref="P34:Q34"/>
    <mergeCell ref="S34:U34"/>
    <mergeCell ref="W34:Y34"/>
    <mergeCell ref="O34:O35"/>
    <mergeCell ref="P35:Q35"/>
    <mergeCell ref="R26:S27"/>
    <mergeCell ref="H20:H21"/>
    <mergeCell ref="I20:J20"/>
    <mergeCell ref="I21:J21"/>
    <mergeCell ref="F20:G20"/>
    <mergeCell ref="F21:G21"/>
    <mergeCell ref="W13:Y13"/>
    <mergeCell ref="W15:Y15"/>
    <mergeCell ref="W16:Y16"/>
    <mergeCell ref="T22:U23"/>
    <mergeCell ref="V22:W23"/>
    <mergeCell ref="S16:T16"/>
    <mergeCell ref="W17:Y17"/>
    <mergeCell ref="S22:S23"/>
    <mergeCell ref="D32:D33"/>
    <mergeCell ref="E32:E33"/>
    <mergeCell ref="E34:E35"/>
    <mergeCell ref="F32:I32"/>
    <mergeCell ref="F33:I33"/>
    <mergeCell ref="H35:J35"/>
    <mergeCell ref="F34:H34"/>
    <mergeCell ref="J34:L34"/>
    <mergeCell ref="J32:J33"/>
    <mergeCell ref="K32:N32"/>
  </mergeCells>
  <printOptions/>
  <pageMargins left="0.62" right="0.3937007874015748" top="0.7874015748031497" bottom="0.3937007874015748" header="0" footer="0.118110236220472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5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30" width="3.09765625" style="2" customWidth="1"/>
    <col min="31" max="16384" width="4.69921875" style="2" customWidth="1"/>
  </cols>
  <sheetData>
    <row r="1" spans="1:34" ht="18" customHeight="1">
      <c r="A1" s="15"/>
      <c r="B1" s="485" t="s">
        <v>715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38"/>
      <c r="AF1" s="38"/>
      <c r="AG1" s="38"/>
      <c r="AH1" s="38"/>
    </row>
    <row r="2" spans="1:34" ht="18" customHeight="1">
      <c r="A2" s="15"/>
      <c r="B2" s="15"/>
      <c r="C2" s="6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38"/>
      <c r="AF2" s="38"/>
      <c r="AG2" s="38"/>
      <c r="AH2" s="38"/>
    </row>
    <row r="3" spans="1:34" ht="18" customHeight="1">
      <c r="A3" s="15"/>
      <c r="B3" s="15"/>
      <c r="C3" s="64"/>
      <c r="D3" s="15"/>
      <c r="E3" s="15" t="s">
        <v>86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681">
        <v>850</v>
      </c>
      <c r="R3" s="682"/>
      <c r="S3" s="682"/>
      <c r="T3" s="15" t="s">
        <v>96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38"/>
      <c r="AF3" s="38"/>
      <c r="AG3" s="38"/>
      <c r="AH3" s="38"/>
    </row>
    <row r="4" spans="1:34" ht="18" customHeight="1">
      <c r="A4" s="15"/>
      <c r="B4" s="15"/>
      <c r="C4" s="64"/>
      <c r="D4" s="15"/>
      <c r="E4" s="15" t="s">
        <v>87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683">
        <f>ころばし!$M$10</f>
        <v>2000</v>
      </c>
      <c r="R4" s="612"/>
      <c r="S4" s="612"/>
      <c r="T4" s="15" t="s">
        <v>96</v>
      </c>
      <c r="U4" s="15" t="s">
        <v>88</v>
      </c>
      <c r="V4" s="15"/>
      <c r="W4" s="15"/>
      <c r="X4" s="15"/>
      <c r="Y4" s="15"/>
      <c r="Z4" s="15"/>
      <c r="AA4" s="15"/>
      <c r="AB4" s="15"/>
      <c r="AC4" s="15"/>
      <c r="AD4" s="15"/>
      <c r="AE4" s="38"/>
      <c r="AF4" s="38"/>
      <c r="AG4" s="38"/>
      <c r="AH4" s="38"/>
    </row>
    <row r="5" spans="1:34" ht="18" customHeight="1">
      <c r="A5" s="15"/>
      <c r="B5" s="15"/>
      <c r="C5" s="6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5"/>
      <c r="R5" s="122"/>
      <c r="S5" s="122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38"/>
      <c r="AF5" s="38"/>
      <c r="AG5" s="38"/>
      <c r="AH5" s="38"/>
    </row>
    <row r="6" spans="1:34" ht="18" customHeight="1">
      <c r="A6" s="15"/>
      <c r="B6" s="15"/>
      <c r="C6" s="64"/>
      <c r="D6" s="15"/>
      <c r="E6" s="15"/>
      <c r="F6" s="15"/>
      <c r="G6" s="15"/>
      <c r="H6" s="15"/>
      <c r="I6" s="15"/>
      <c r="J6" s="15"/>
      <c r="K6" s="15"/>
      <c r="L6" s="15"/>
      <c r="M6" s="15"/>
      <c r="N6" s="572">
        <f>'足場板'!$M$55</f>
        <v>900</v>
      </c>
      <c r="O6" s="572"/>
      <c r="P6" s="572"/>
      <c r="Q6" s="572">
        <f>'足場板'!$M$55</f>
        <v>900</v>
      </c>
      <c r="R6" s="572"/>
      <c r="S6" s="572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38"/>
      <c r="AF6" s="38"/>
      <c r="AG6" s="38"/>
      <c r="AH6" s="38"/>
    </row>
    <row r="7" spans="1:34" ht="18" customHeight="1">
      <c r="A7" s="15"/>
      <c r="B7" s="15"/>
      <c r="C7" s="6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6"/>
      <c r="T7" s="15"/>
      <c r="U7" s="15"/>
      <c r="V7" s="135" t="s">
        <v>85</v>
      </c>
      <c r="W7" s="135"/>
      <c r="X7" s="135"/>
      <c r="Y7" s="15"/>
      <c r="Z7" s="15"/>
      <c r="AA7" s="15"/>
      <c r="AB7" s="15"/>
      <c r="AC7" s="15"/>
      <c r="AD7" s="15"/>
      <c r="AE7" s="38"/>
      <c r="AF7" s="38"/>
      <c r="AG7" s="38"/>
      <c r="AH7" s="38"/>
    </row>
    <row r="8" spans="1:34" ht="18" customHeight="1">
      <c r="A8" s="15"/>
      <c r="B8" s="15"/>
      <c r="C8" s="6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6"/>
      <c r="T8" s="15"/>
      <c r="U8" s="15"/>
      <c r="V8" s="15"/>
      <c r="W8" s="15"/>
      <c r="X8" s="15"/>
      <c r="Y8" s="135"/>
      <c r="Z8" s="15"/>
      <c r="AA8" s="15"/>
      <c r="AB8" s="15"/>
      <c r="AC8" s="15"/>
      <c r="AD8" s="15"/>
      <c r="AE8" s="38"/>
      <c r="AF8" s="38"/>
      <c r="AG8" s="38"/>
      <c r="AH8" s="38"/>
    </row>
    <row r="9" spans="1:34" ht="18" customHeight="1">
      <c r="A9" s="15"/>
      <c r="B9" s="15"/>
      <c r="C9" s="6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38"/>
      <c r="AF9" s="38"/>
      <c r="AG9" s="38"/>
      <c r="AH9" s="38"/>
    </row>
    <row r="10" spans="1:34" ht="18" customHeight="1">
      <c r="A10" s="15"/>
      <c r="B10" s="15"/>
      <c r="C10" s="6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8"/>
      <c r="AA10" s="15"/>
      <c r="AB10" s="38"/>
      <c r="AC10" s="15"/>
      <c r="AD10" s="15"/>
      <c r="AE10" s="38"/>
      <c r="AF10" s="38"/>
      <c r="AG10" s="38"/>
      <c r="AH10" s="38"/>
    </row>
    <row r="11" spans="1:34" ht="18" customHeight="1">
      <c r="A11" s="15"/>
      <c r="B11" s="15"/>
      <c r="C11" s="64"/>
      <c r="D11" s="15"/>
      <c r="E11" s="15"/>
      <c r="F11" s="15"/>
      <c r="G11" s="15"/>
      <c r="H11" s="15"/>
      <c r="I11" s="136" t="s">
        <v>89</v>
      </c>
      <c r="J11" s="15"/>
      <c r="K11" s="15"/>
      <c r="L11" s="15"/>
      <c r="M11" s="15"/>
      <c r="N11" s="15"/>
      <c r="O11" s="15"/>
      <c r="P11" s="15"/>
      <c r="Q11" s="15"/>
      <c r="R11" s="15"/>
      <c r="S11" s="18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38"/>
      <c r="AF11" s="38"/>
      <c r="AG11" s="38"/>
      <c r="AH11" s="38"/>
    </row>
    <row r="12" spans="1:34" ht="18" customHeight="1">
      <c r="A12" s="15"/>
      <c r="B12" s="15"/>
      <c r="C12" s="6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611">
        <f>$Q$4</f>
        <v>2000</v>
      </c>
      <c r="Y12" s="611"/>
      <c r="Z12" s="582"/>
      <c r="AA12" s="15"/>
      <c r="AB12" s="572"/>
      <c r="AC12" s="572"/>
      <c r="AD12" s="15"/>
      <c r="AE12" s="38"/>
      <c r="AF12" s="38"/>
      <c r="AG12" s="38"/>
      <c r="AH12" s="38"/>
    </row>
    <row r="13" spans="1:34" ht="18" customHeight="1">
      <c r="A13" s="15"/>
      <c r="B13" s="15"/>
      <c r="C13" s="6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 t="s">
        <v>152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38"/>
      <c r="AG13" s="38"/>
      <c r="AH13" s="38"/>
    </row>
    <row r="14" spans="1:34" ht="18" customHeight="1">
      <c r="A14" s="15"/>
      <c r="B14" s="15"/>
      <c r="C14" s="6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38"/>
      <c r="AG14" s="38"/>
      <c r="AH14" s="38"/>
    </row>
    <row r="15" spans="1:34" ht="18" customHeight="1">
      <c r="A15" s="15"/>
      <c r="B15" s="15"/>
      <c r="C15" s="6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38"/>
      <c r="AG15" s="38"/>
      <c r="AH15" s="38"/>
    </row>
    <row r="16" spans="1:34" ht="18" customHeight="1">
      <c r="A16" s="15"/>
      <c r="B16" s="15"/>
      <c r="C16" s="6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38"/>
      <c r="AG16" s="38"/>
      <c r="AH16" s="38"/>
    </row>
    <row r="17" spans="1:34" ht="18" customHeight="1">
      <c r="A17" s="15"/>
      <c r="B17" s="15"/>
      <c r="C17" s="6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611">
        <f>$Q$4</f>
        <v>2000</v>
      </c>
      <c r="Y17" s="611"/>
      <c r="Z17" s="582"/>
      <c r="AA17" s="15"/>
      <c r="AB17" s="15"/>
      <c r="AC17" s="15"/>
      <c r="AD17" s="15"/>
      <c r="AE17" s="38"/>
      <c r="AF17" s="38"/>
      <c r="AG17" s="38"/>
      <c r="AH17" s="38"/>
    </row>
    <row r="18" spans="1:34" ht="18" customHeight="1">
      <c r="A18" s="15"/>
      <c r="B18" s="15"/>
      <c r="C18" s="6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29"/>
      <c r="AC18" s="15"/>
      <c r="AD18" s="15"/>
      <c r="AE18" s="38"/>
      <c r="AF18" s="38"/>
      <c r="AG18" s="38"/>
      <c r="AH18" s="38"/>
    </row>
    <row r="19" spans="1:34" ht="18" customHeight="1">
      <c r="A19" s="15"/>
      <c r="B19" s="15"/>
      <c r="C19" s="6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38"/>
      <c r="AF19" s="38"/>
      <c r="AG19" s="38"/>
      <c r="AH19" s="38"/>
    </row>
    <row r="20" spans="1:34" ht="18" customHeight="1">
      <c r="A20" s="15"/>
      <c r="B20" s="15"/>
      <c r="C20" s="6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38"/>
      <c r="AF20" s="38"/>
      <c r="AG20" s="38"/>
      <c r="AH20" s="38"/>
    </row>
    <row r="21" spans="1:34" ht="18" customHeight="1">
      <c r="A21" s="15"/>
      <c r="B21" s="15"/>
      <c r="C21" s="6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 t="s">
        <v>194</v>
      </c>
      <c r="W21" s="15"/>
      <c r="X21" s="38"/>
      <c r="Y21" s="15"/>
      <c r="Z21" s="15"/>
      <c r="AA21" s="15"/>
      <c r="AB21" s="15"/>
      <c r="AC21" s="15"/>
      <c r="AD21" s="15"/>
      <c r="AE21" s="38"/>
      <c r="AF21" s="38"/>
      <c r="AG21" s="38"/>
      <c r="AH21" s="38"/>
    </row>
    <row r="22" spans="1:34" ht="18" customHeight="1">
      <c r="A22" s="15"/>
      <c r="B22" s="15"/>
      <c r="C22" s="64"/>
      <c r="D22" s="15"/>
      <c r="E22" s="15"/>
      <c r="F22" s="15"/>
      <c r="G22" s="15"/>
      <c r="H22" s="15"/>
      <c r="I22" s="15"/>
      <c r="J22" s="15"/>
      <c r="K22" s="36"/>
      <c r="L22" s="36"/>
      <c r="M22" s="36"/>
      <c r="N22" s="36"/>
      <c r="O22" s="36"/>
      <c r="P22" s="15"/>
      <c r="Q22" s="27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38"/>
      <c r="AF22" s="38"/>
      <c r="AG22" s="38"/>
      <c r="AH22" s="38"/>
    </row>
    <row r="23" spans="1:34" ht="18" customHeight="1">
      <c r="A23" s="15"/>
      <c r="B23" s="15"/>
      <c r="C23" s="6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38"/>
      <c r="AF23" s="38"/>
      <c r="AG23" s="38"/>
      <c r="AH23" s="38"/>
    </row>
    <row r="24" spans="1:34" ht="18" customHeight="1">
      <c r="A24" s="15"/>
      <c r="B24" s="15"/>
      <c r="C24" s="15"/>
      <c r="D24" s="15" t="s">
        <v>76</v>
      </c>
      <c r="E24" s="15"/>
      <c r="F24" s="15"/>
      <c r="G24" s="15"/>
      <c r="H24" s="37" t="s">
        <v>154</v>
      </c>
      <c r="I24" s="15"/>
      <c r="J24" s="15"/>
      <c r="K24" s="15"/>
      <c r="L24" s="29"/>
      <c r="M24" s="29"/>
      <c r="N24" s="15"/>
      <c r="O24" s="15"/>
      <c r="P24" s="19"/>
      <c r="Q24" s="15"/>
      <c r="R24" s="15"/>
      <c r="S24" s="15"/>
      <c r="T24" s="19" t="s">
        <v>169</v>
      </c>
      <c r="U24" s="683">
        <f>'足場板'!$R$32</f>
        <v>1860</v>
      </c>
      <c r="V24" s="553"/>
      <c r="W24" s="553"/>
      <c r="X24" s="19" t="s">
        <v>157</v>
      </c>
      <c r="Y24" s="15"/>
      <c r="Z24" s="127"/>
      <c r="AA24" s="15"/>
      <c r="AB24" s="15"/>
      <c r="AC24" s="15"/>
      <c r="AD24" s="15"/>
      <c r="AE24" s="38"/>
      <c r="AF24" s="38"/>
      <c r="AG24" s="38"/>
      <c r="AH24" s="38"/>
    </row>
    <row r="25" spans="1:34" ht="18" customHeight="1">
      <c r="A25" s="15"/>
      <c r="B25" s="15"/>
      <c r="C25" s="15"/>
      <c r="D25" s="15"/>
      <c r="E25" s="15"/>
      <c r="F25" s="15"/>
      <c r="G25" s="124"/>
      <c r="H25" s="137" t="s">
        <v>153</v>
      </c>
      <c r="I25" s="124"/>
      <c r="J25" s="124"/>
      <c r="K25" s="124"/>
      <c r="L25" s="138"/>
      <c r="M25" s="138"/>
      <c r="N25" s="688">
        <f>ころばし!$W$17</f>
        <v>206</v>
      </c>
      <c r="O25" s="647"/>
      <c r="P25" s="117" t="s">
        <v>69</v>
      </c>
      <c r="Q25" s="688">
        <f>$Q$4/1000</f>
        <v>2</v>
      </c>
      <c r="R25" s="688"/>
      <c r="S25" s="124"/>
      <c r="T25" s="117" t="s">
        <v>171</v>
      </c>
      <c r="U25" s="675">
        <f>$N$25*$Q$25</f>
        <v>412</v>
      </c>
      <c r="V25" s="689"/>
      <c r="W25" s="689"/>
      <c r="X25" s="117" t="s">
        <v>139</v>
      </c>
      <c r="Y25" s="15"/>
      <c r="Z25" s="127"/>
      <c r="AA25" s="15"/>
      <c r="AB25" s="15"/>
      <c r="AC25" s="15"/>
      <c r="AD25" s="15"/>
      <c r="AE25" s="38"/>
      <c r="AF25" s="38"/>
      <c r="AG25" s="38"/>
      <c r="AH25" s="38"/>
    </row>
    <row r="26" spans="1:34" ht="18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32"/>
      <c r="L26" s="18"/>
      <c r="M26" s="18"/>
      <c r="N26" s="18"/>
      <c r="O26" s="15"/>
      <c r="P26" s="15"/>
      <c r="Q26" s="15"/>
      <c r="R26" s="15" t="s">
        <v>195</v>
      </c>
      <c r="S26" s="139"/>
      <c r="T26" s="19" t="s">
        <v>171</v>
      </c>
      <c r="U26" s="684">
        <f>U24+U25</f>
        <v>2272</v>
      </c>
      <c r="V26" s="685"/>
      <c r="W26" s="685"/>
      <c r="X26" s="19" t="s">
        <v>139</v>
      </c>
      <c r="Y26" s="15"/>
      <c r="Z26" s="15"/>
      <c r="AA26" s="15"/>
      <c r="AB26" s="30"/>
      <c r="AC26" s="64"/>
      <c r="AD26" s="15"/>
      <c r="AE26" s="38"/>
      <c r="AF26" s="38"/>
      <c r="AG26" s="38"/>
      <c r="AH26" s="38"/>
    </row>
    <row r="27" spans="1:34" ht="18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32"/>
      <c r="L27" s="18"/>
      <c r="M27" s="18"/>
      <c r="N27" s="18"/>
      <c r="O27" s="15"/>
      <c r="P27" s="15"/>
      <c r="Q27" s="15"/>
      <c r="R27" s="15"/>
      <c r="S27" s="139"/>
      <c r="T27" s="18"/>
      <c r="U27" s="20"/>
      <c r="V27" s="140"/>
      <c r="W27" s="140"/>
      <c r="X27" s="19"/>
      <c r="Y27" s="15"/>
      <c r="Z27" s="15"/>
      <c r="AA27" s="15"/>
      <c r="AB27" s="30"/>
      <c r="AC27" s="64"/>
      <c r="AD27" s="15"/>
      <c r="AE27" s="38"/>
      <c r="AF27" s="38"/>
      <c r="AG27" s="38"/>
      <c r="AH27" s="38"/>
    </row>
    <row r="28" spans="1:34" ht="18" customHeight="1">
      <c r="A28" s="15"/>
      <c r="B28" s="15"/>
      <c r="C28" s="64"/>
      <c r="D28" s="15" t="s">
        <v>75</v>
      </c>
      <c r="E28" s="15"/>
      <c r="F28" s="15"/>
      <c r="G28" s="15"/>
      <c r="H28" s="15" t="s">
        <v>196</v>
      </c>
      <c r="I28" s="15"/>
      <c r="J28" s="15"/>
      <c r="K28" s="15"/>
      <c r="L28" s="15"/>
      <c r="M28" s="15"/>
      <c r="N28" s="15"/>
      <c r="O28" s="15"/>
      <c r="P28" s="15"/>
      <c r="Q28" s="15"/>
      <c r="R28" s="15" t="s">
        <v>197</v>
      </c>
      <c r="S28" s="15"/>
      <c r="T28" s="19" t="s">
        <v>171</v>
      </c>
      <c r="U28" s="581">
        <f>'足場板'!$R$25</f>
        <v>27</v>
      </c>
      <c r="V28" s="581"/>
      <c r="W28" s="581"/>
      <c r="X28" s="15" t="s">
        <v>198</v>
      </c>
      <c r="Y28" s="15"/>
      <c r="Z28" s="15"/>
      <c r="AA28" s="15"/>
      <c r="AB28" s="15"/>
      <c r="AC28" s="15"/>
      <c r="AD28" s="15"/>
      <c r="AE28" s="38"/>
      <c r="AF28" s="38"/>
      <c r="AG28" s="38"/>
      <c r="AH28" s="38"/>
    </row>
    <row r="29" spans="1:34" ht="18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32"/>
      <c r="L29" s="18"/>
      <c r="M29" s="18"/>
      <c r="N29" s="18"/>
      <c r="O29" s="15"/>
      <c r="P29" s="15"/>
      <c r="Q29" s="15"/>
      <c r="R29" s="15"/>
      <c r="S29" s="139"/>
      <c r="T29" s="18"/>
      <c r="U29" s="18"/>
      <c r="V29" s="20"/>
      <c r="W29" s="20"/>
      <c r="X29" s="19"/>
      <c r="Y29" s="15"/>
      <c r="Z29" s="15"/>
      <c r="AA29" s="15"/>
      <c r="AB29" s="30"/>
      <c r="AC29" s="64"/>
      <c r="AD29" s="15"/>
      <c r="AE29" s="38"/>
      <c r="AF29" s="38"/>
      <c r="AG29" s="38"/>
      <c r="AH29" s="38"/>
    </row>
    <row r="30" spans="1:34" ht="18" customHeight="1">
      <c r="A30" s="15"/>
      <c r="B30" s="15"/>
      <c r="C30" s="15"/>
      <c r="D30" s="15" t="s">
        <v>172</v>
      </c>
      <c r="E30" s="15"/>
      <c r="F30" s="15"/>
      <c r="G30" s="15"/>
      <c r="H30" s="15"/>
      <c r="I30" s="15"/>
      <c r="J30" s="15"/>
      <c r="K30" s="13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38"/>
      <c r="AF30" s="38"/>
      <c r="AG30" s="38"/>
      <c r="AH30" s="38"/>
    </row>
    <row r="31" spans="1:38" ht="18" customHeight="1">
      <c r="A31" s="15"/>
      <c r="B31" s="15"/>
      <c r="C31" s="15"/>
      <c r="D31" s="15"/>
      <c r="E31" s="605" t="s">
        <v>173</v>
      </c>
      <c r="F31" s="605" t="s">
        <v>174</v>
      </c>
      <c r="G31" s="647" t="s">
        <v>175</v>
      </c>
      <c r="H31" s="647"/>
      <c r="I31" s="605" t="s">
        <v>79</v>
      </c>
      <c r="J31" s="647" t="s">
        <v>176</v>
      </c>
      <c r="K31" s="647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38"/>
      <c r="AF31" s="36"/>
      <c r="AG31" s="36"/>
      <c r="AH31" s="36"/>
      <c r="AI31" s="3"/>
      <c r="AJ31" s="3"/>
      <c r="AK31" s="3"/>
      <c r="AL31" s="3"/>
    </row>
    <row r="32" spans="1:38" ht="18" customHeight="1">
      <c r="A32" s="15"/>
      <c r="B32" s="15"/>
      <c r="C32" s="15"/>
      <c r="D32" s="15"/>
      <c r="E32" s="605"/>
      <c r="F32" s="605"/>
      <c r="G32" s="605">
        <v>4</v>
      </c>
      <c r="H32" s="605"/>
      <c r="I32" s="605"/>
      <c r="J32" s="605">
        <v>8</v>
      </c>
      <c r="K32" s="60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38"/>
      <c r="AF32" s="36"/>
      <c r="AG32" s="141"/>
      <c r="AH32" s="36"/>
      <c r="AI32" s="1"/>
      <c r="AJ32" s="3"/>
      <c r="AK32" s="3"/>
      <c r="AL32" s="3"/>
    </row>
    <row r="33" spans="1:38" ht="18" customHeight="1">
      <c r="A33" s="15"/>
      <c r="B33" s="15"/>
      <c r="C33" s="15"/>
      <c r="D33" s="15"/>
      <c r="E33" s="15"/>
      <c r="F33" s="605" t="s">
        <v>174</v>
      </c>
      <c r="G33" s="679">
        <f>$U$26</f>
        <v>2272</v>
      </c>
      <c r="H33" s="648"/>
      <c r="I33" s="648"/>
      <c r="J33" s="142" t="s">
        <v>69</v>
      </c>
      <c r="K33" s="677">
        <f>Q3/1000</f>
        <v>0.9</v>
      </c>
      <c r="L33" s="677"/>
      <c r="M33" s="605" t="s">
        <v>79</v>
      </c>
      <c r="N33" s="678">
        <f>$U$28</f>
        <v>27</v>
      </c>
      <c r="O33" s="678"/>
      <c r="P33" s="142" t="s">
        <v>69</v>
      </c>
      <c r="Q33" s="687">
        <f>$Q$3/1000</f>
        <v>0.9</v>
      </c>
      <c r="R33" s="687"/>
      <c r="S33" s="119" t="s">
        <v>177</v>
      </c>
      <c r="T33" s="605" t="s">
        <v>174</v>
      </c>
      <c r="U33" s="611">
        <f>G33*K33/J34+N33*Q33^2/P34</f>
        <v>514</v>
      </c>
      <c r="V33" s="611"/>
      <c r="W33" s="686" t="s">
        <v>199</v>
      </c>
      <c r="X33" s="582"/>
      <c r="Y33" s="15"/>
      <c r="Z33" s="15"/>
      <c r="AA33" s="15"/>
      <c r="AB33" s="15"/>
      <c r="AC33" s="15"/>
      <c r="AD33" s="15"/>
      <c r="AE33" s="38"/>
      <c r="AF33" s="36"/>
      <c r="AG33" s="36"/>
      <c r="AH33" s="36"/>
      <c r="AI33" s="3"/>
      <c r="AJ33" s="3"/>
      <c r="AK33" s="3"/>
      <c r="AL33" s="3"/>
    </row>
    <row r="34" spans="1:34" ht="18" customHeight="1">
      <c r="A34" s="15"/>
      <c r="B34" s="15"/>
      <c r="C34" s="15"/>
      <c r="D34" s="15"/>
      <c r="E34" s="18"/>
      <c r="F34" s="605"/>
      <c r="G34" s="15"/>
      <c r="H34" s="15"/>
      <c r="I34" s="15"/>
      <c r="J34" s="15">
        <v>4</v>
      </c>
      <c r="K34" s="15"/>
      <c r="L34" s="15"/>
      <c r="M34" s="605"/>
      <c r="N34" s="18"/>
      <c r="O34" s="18"/>
      <c r="P34" s="15">
        <v>8</v>
      </c>
      <c r="Q34" s="15"/>
      <c r="R34" s="15"/>
      <c r="S34" s="15"/>
      <c r="T34" s="605"/>
      <c r="U34" s="611"/>
      <c r="V34" s="611"/>
      <c r="W34" s="582"/>
      <c r="X34" s="582"/>
      <c r="Y34" s="15"/>
      <c r="Z34" s="15"/>
      <c r="AA34" s="15"/>
      <c r="AB34" s="15"/>
      <c r="AC34" s="15"/>
      <c r="AD34" s="15"/>
      <c r="AE34" s="38"/>
      <c r="AF34" s="38"/>
      <c r="AG34" s="38"/>
      <c r="AH34" s="38"/>
    </row>
    <row r="35" spans="1:34" ht="18" customHeight="1">
      <c r="A35" s="15"/>
      <c r="B35" s="15"/>
      <c r="C35" s="15"/>
      <c r="D35" s="15" t="s">
        <v>159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9"/>
      <c r="R35" s="19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38"/>
      <c r="AF35" s="38"/>
      <c r="AG35" s="38"/>
      <c r="AH35" s="38"/>
    </row>
    <row r="36" spans="1:34" ht="18" customHeight="1">
      <c r="A36" s="15"/>
      <c r="B36" s="15"/>
      <c r="C36" s="15"/>
      <c r="D36" s="15"/>
      <c r="E36" s="605" t="s">
        <v>179</v>
      </c>
      <c r="F36" s="605" t="s">
        <v>174</v>
      </c>
      <c r="G36" s="647" t="s">
        <v>80</v>
      </c>
      <c r="H36" s="647"/>
      <c r="I36" s="605" t="s">
        <v>160</v>
      </c>
      <c r="J36" s="680">
        <f>$U$33*1000</f>
        <v>514000</v>
      </c>
      <c r="K36" s="680"/>
      <c r="L36" s="680"/>
      <c r="M36" s="605" t="s">
        <v>174</v>
      </c>
      <c r="N36" s="673">
        <f>$J$36/$J$37</f>
        <v>134</v>
      </c>
      <c r="O36" s="673"/>
      <c r="P36" s="618" t="s">
        <v>180</v>
      </c>
      <c r="Q36" s="618"/>
      <c r="R36" s="605" t="str">
        <f>IF($N$36&lt;=$U$36,"＜","＞")</f>
        <v>＜</v>
      </c>
      <c r="S36" s="612" t="s">
        <v>181</v>
      </c>
      <c r="T36" s="612"/>
      <c r="U36" s="572">
        <f>VLOOKUP('使用材一覧'!$L$23,'使用材一覧'!$AC$7:$AJ$13,6,FALSE)</f>
        <v>235</v>
      </c>
      <c r="V36" s="572"/>
      <c r="W36" s="605" t="s">
        <v>182</v>
      </c>
      <c r="X36" s="605"/>
      <c r="Y36" s="610">
        <f>IF($N$36&lt;=$U$36,"","NG")</f>
      </c>
      <c r="Z36" s="610"/>
      <c r="AA36" s="610"/>
      <c r="AB36" s="610"/>
      <c r="AC36" s="38"/>
      <c r="AD36" s="38"/>
      <c r="AE36" s="38"/>
      <c r="AF36" s="38"/>
      <c r="AG36" s="38"/>
      <c r="AH36" s="38"/>
    </row>
    <row r="37" spans="1:34" ht="18" customHeight="1">
      <c r="A37" s="15"/>
      <c r="B37" s="15"/>
      <c r="C37" s="15"/>
      <c r="D37" s="15"/>
      <c r="E37" s="605"/>
      <c r="F37" s="605"/>
      <c r="G37" s="605" t="s">
        <v>81</v>
      </c>
      <c r="H37" s="605"/>
      <c r="I37" s="605"/>
      <c r="J37" s="611">
        <f>VLOOKUP('使用材一覧'!$L$23,'使用材一覧'!$AC$7:$AJ$13,4,FALSE)</f>
        <v>3830</v>
      </c>
      <c r="K37" s="611"/>
      <c r="L37" s="611"/>
      <c r="M37" s="605"/>
      <c r="N37" s="673"/>
      <c r="O37" s="673"/>
      <c r="P37" s="618"/>
      <c r="Q37" s="618"/>
      <c r="R37" s="605"/>
      <c r="S37" s="612"/>
      <c r="T37" s="612"/>
      <c r="U37" s="572"/>
      <c r="V37" s="572"/>
      <c r="W37" s="605"/>
      <c r="X37" s="605"/>
      <c r="Y37" s="610"/>
      <c r="Z37" s="610"/>
      <c r="AA37" s="610"/>
      <c r="AB37" s="610"/>
      <c r="AC37" s="38"/>
      <c r="AD37" s="38"/>
      <c r="AE37" s="38"/>
      <c r="AF37" s="38"/>
      <c r="AG37" s="38"/>
      <c r="AH37" s="38"/>
    </row>
    <row r="38" spans="1:34" ht="18" customHeight="1">
      <c r="A38" s="15"/>
      <c r="B38" s="15"/>
      <c r="C38" s="15"/>
      <c r="D38" s="15" t="s">
        <v>82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15"/>
      <c r="AE38" s="38"/>
      <c r="AF38" s="38"/>
      <c r="AG38" s="38"/>
      <c r="AH38" s="38"/>
    </row>
    <row r="39" spans="1:34" ht="18" customHeight="1">
      <c r="A39" s="15"/>
      <c r="B39" s="15"/>
      <c r="C39" s="15"/>
      <c r="D39" s="15"/>
      <c r="E39" s="605" t="s">
        <v>183</v>
      </c>
      <c r="F39" s="605" t="s">
        <v>174</v>
      </c>
      <c r="G39" s="647" t="s">
        <v>184</v>
      </c>
      <c r="H39" s="647"/>
      <c r="I39" s="647"/>
      <c r="J39" s="647"/>
      <c r="K39" s="605" t="s">
        <v>79</v>
      </c>
      <c r="L39" s="651" t="s">
        <v>185</v>
      </c>
      <c r="M39" s="651"/>
      <c r="N39" s="651"/>
      <c r="O39" s="651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38"/>
      <c r="AF39" s="38"/>
      <c r="AG39" s="38"/>
      <c r="AH39" s="38"/>
    </row>
    <row r="40" spans="1:34" ht="18" customHeight="1">
      <c r="A40" s="15"/>
      <c r="B40" s="15"/>
      <c r="C40" s="15"/>
      <c r="D40" s="15"/>
      <c r="E40" s="605"/>
      <c r="F40" s="605"/>
      <c r="G40" s="649" t="s">
        <v>186</v>
      </c>
      <c r="H40" s="649"/>
      <c r="I40" s="649"/>
      <c r="J40" s="649"/>
      <c r="K40" s="605"/>
      <c r="L40" s="649" t="s">
        <v>187</v>
      </c>
      <c r="M40" s="649"/>
      <c r="N40" s="649"/>
      <c r="O40" s="649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38"/>
      <c r="AF40" s="38"/>
      <c r="AG40" s="38"/>
      <c r="AH40" s="38"/>
    </row>
    <row r="41" spans="1:34" ht="18" customHeight="1">
      <c r="A41" s="15"/>
      <c r="B41" s="15"/>
      <c r="C41" s="15"/>
      <c r="D41" s="15"/>
      <c r="E41" s="18"/>
      <c r="F41" s="605" t="s">
        <v>174</v>
      </c>
      <c r="G41" s="125"/>
      <c r="H41" s="679">
        <f>$U$26</f>
        <v>2272</v>
      </c>
      <c r="I41" s="657"/>
      <c r="J41" s="657"/>
      <c r="K41" s="142" t="s">
        <v>69</v>
      </c>
      <c r="L41" s="675">
        <f>$Q$3</f>
        <v>850</v>
      </c>
      <c r="M41" s="675"/>
      <c r="N41" s="676"/>
      <c r="O41" s="119" t="s">
        <v>188</v>
      </c>
      <c r="P41" s="605" t="s">
        <v>79</v>
      </c>
      <c r="Q41" s="648">
        <v>5</v>
      </c>
      <c r="R41" s="648"/>
      <c r="S41" s="142" t="s">
        <v>69</v>
      </c>
      <c r="T41" s="674">
        <f>$U$28/1000</f>
        <v>0.027</v>
      </c>
      <c r="U41" s="674"/>
      <c r="V41" s="142" t="s">
        <v>69</v>
      </c>
      <c r="W41" s="675">
        <f>Q3</f>
        <v>850</v>
      </c>
      <c r="X41" s="675"/>
      <c r="Y41" s="676"/>
      <c r="Z41" s="119" t="s">
        <v>189</v>
      </c>
      <c r="AA41" s="15"/>
      <c r="AB41" s="15"/>
      <c r="AC41" s="15"/>
      <c r="AD41" s="15"/>
      <c r="AE41" s="38"/>
      <c r="AF41" s="38"/>
      <c r="AG41" s="38"/>
      <c r="AH41" s="38"/>
    </row>
    <row r="42" spans="1:34" ht="18" customHeight="1">
      <c r="A42" s="15"/>
      <c r="B42" s="15"/>
      <c r="C42" s="15"/>
      <c r="D42" s="15"/>
      <c r="E42" s="18"/>
      <c r="F42" s="605"/>
      <c r="G42" s="15">
        <v>48</v>
      </c>
      <c r="H42" s="15" t="s">
        <v>190</v>
      </c>
      <c r="I42" s="626">
        <f>VLOOKUP('使用材一覧'!$L$23,'使用材一覧'!$AC$7:$AJ$13,5,FALSE)</f>
        <v>200000</v>
      </c>
      <c r="J42" s="626"/>
      <c r="K42" s="626"/>
      <c r="L42" s="18" t="s">
        <v>69</v>
      </c>
      <c r="M42" s="611">
        <f>VLOOKUP('使用材一覧'!$L$23,'使用材一覧'!$AC$7:$AJ$13,3,FALSE)</f>
        <v>93200</v>
      </c>
      <c r="N42" s="611"/>
      <c r="O42" s="611"/>
      <c r="P42" s="605"/>
      <c r="Q42" s="650">
        <v>384</v>
      </c>
      <c r="R42" s="650"/>
      <c r="S42" s="18" t="s">
        <v>69</v>
      </c>
      <c r="T42" s="626">
        <f>VLOOKUP('使用材一覧'!$L$23,'使用材一覧'!$AC$7:$AJ$13,5,FALSE)</f>
        <v>200000</v>
      </c>
      <c r="U42" s="626"/>
      <c r="V42" s="626"/>
      <c r="W42" s="18" t="s">
        <v>69</v>
      </c>
      <c r="X42" s="611">
        <f>VLOOKUP('使用材一覧'!$L$23,'使用材一覧'!$AC$7:$AJ$13,3,FALSE)</f>
        <v>93200</v>
      </c>
      <c r="Y42" s="611"/>
      <c r="Z42" s="611"/>
      <c r="AA42" s="15"/>
      <c r="AB42" s="15"/>
      <c r="AC42" s="118"/>
      <c r="AD42" s="15"/>
      <c r="AE42" s="38"/>
      <c r="AF42" s="38"/>
      <c r="AG42" s="38"/>
      <c r="AH42" s="38"/>
    </row>
    <row r="43" spans="1:34" ht="18" customHeight="1">
      <c r="A43" s="15"/>
      <c r="B43" s="15"/>
      <c r="C43" s="15"/>
      <c r="D43" s="15"/>
      <c r="E43" s="18"/>
      <c r="F43" s="15"/>
      <c r="G43" s="15"/>
      <c r="H43" s="15"/>
      <c r="I43" s="31"/>
      <c r="J43" s="31"/>
      <c r="K43" s="31"/>
      <c r="L43" s="18"/>
      <c r="M43" s="27"/>
      <c r="N43" s="27"/>
      <c r="O43" s="27"/>
      <c r="P43" s="19"/>
      <c r="Q43" s="15"/>
      <c r="R43" s="15"/>
      <c r="S43" s="18"/>
      <c r="T43" s="26"/>
      <c r="U43" s="26"/>
      <c r="V43" s="26"/>
      <c r="W43" s="18"/>
      <c r="X43" s="143"/>
      <c r="Y43" s="143"/>
      <c r="Z43" s="143"/>
      <c r="AA43" s="15"/>
      <c r="AB43" s="15"/>
      <c r="AC43" s="118"/>
      <c r="AD43" s="15"/>
      <c r="AE43" s="38"/>
      <c r="AF43" s="38"/>
      <c r="AG43" s="38"/>
      <c r="AH43" s="38"/>
    </row>
    <row r="44" spans="1:34" ht="18" customHeight="1">
      <c r="A44" s="15"/>
      <c r="B44" s="15"/>
      <c r="C44" s="15"/>
      <c r="D44" s="15"/>
      <c r="E44" s="38"/>
      <c r="F44" s="19" t="s">
        <v>174</v>
      </c>
      <c r="G44" s="619">
        <f>H41*L41^3/(G42*I42*M42)+Q41*T41*W41^4/(Q42*T42*X42)</f>
        <v>2</v>
      </c>
      <c r="H44" s="619"/>
      <c r="I44" s="15" t="s">
        <v>191</v>
      </c>
      <c r="J44" s="15"/>
      <c r="K44" s="38"/>
      <c r="L44" s="15"/>
      <c r="M44" s="15"/>
      <c r="N44" s="15"/>
      <c r="O44" s="15"/>
      <c r="P44" s="15"/>
      <c r="Q44" s="38"/>
      <c r="R44" s="19"/>
      <c r="S44" s="15"/>
      <c r="T44" s="15"/>
      <c r="U44" s="15"/>
      <c r="V44" s="15"/>
      <c r="W44" s="15"/>
      <c r="X44" s="15"/>
      <c r="Y44" s="38"/>
      <c r="Z44" s="15"/>
      <c r="AA44" s="15"/>
      <c r="AB44" s="15"/>
      <c r="AC44" s="15"/>
      <c r="AD44" s="15"/>
      <c r="AE44" s="38"/>
      <c r="AF44" s="38"/>
      <c r="AG44" s="38"/>
      <c r="AH44" s="38"/>
    </row>
    <row r="45" spans="1:34" ht="18" customHeight="1">
      <c r="A45" s="15"/>
      <c r="B45" s="15"/>
      <c r="C45" s="15"/>
      <c r="D45" s="15"/>
      <c r="E45" s="18"/>
      <c r="F45" s="18"/>
      <c r="G45" s="38"/>
      <c r="H45" s="38"/>
      <c r="I45" s="32"/>
      <c r="J45" s="32"/>
      <c r="K45" s="37"/>
      <c r="L45" s="38"/>
      <c r="M45" s="18"/>
      <c r="N45" s="18"/>
      <c r="O45" s="33"/>
      <c r="P45" s="33"/>
      <c r="Q45" s="15"/>
      <c r="R45" s="15"/>
      <c r="S45" s="15"/>
      <c r="T45" s="38"/>
      <c r="U45" s="34"/>
      <c r="V45" s="34"/>
      <c r="W45" s="34"/>
      <c r="X45" s="34"/>
      <c r="Y45" s="102"/>
      <c r="Z45" s="38"/>
      <c r="AA45" s="38"/>
      <c r="AB45" s="28"/>
      <c r="AC45" s="15"/>
      <c r="AD45" s="15"/>
      <c r="AE45" s="38"/>
      <c r="AF45" s="38"/>
      <c r="AG45" s="38"/>
      <c r="AH45" s="38"/>
    </row>
    <row r="46" spans="1:34" ht="18" customHeight="1">
      <c r="A46" s="15"/>
      <c r="B46" s="15"/>
      <c r="C46" s="15"/>
      <c r="D46" s="15"/>
      <c r="E46" s="18"/>
      <c r="F46" s="18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38"/>
      <c r="AF46" s="38"/>
      <c r="AG46" s="38"/>
      <c r="AH46" s="38"/>
    </row>
    <row r="47" spans="1:34" ht="18" customHeight="1">
      <c r="A47" s="15"/>
      <c r="B47" s="15"/>
      <c r="C47" s="15"/>
      <c r="D47" s="15"/>
      <c r="E47" s="38"/>
      <c r="F47" s="18"/>
      <c r="G47" s="3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38"/>
      <c r="AF47" s="38"/>
      <c r="AG47" s="38"/>
      <c r="AH47" s="38"/>
    </row>
    <row r="48" spans="1:34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38"/>
      <c r="AF48" s="38"/>
      <c r="AG48" s="38"/>
      <c r="AH48" s="38"/>
    </row>
    <row r="49" spans="1:34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34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</row>
    <row r="52" spans="1:34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</sheetData>
  <sheetProtection sheet="1" objects="1" scenarios="1"/>
  <mergeCells count="64">
    <mergeCell ref="W36:X37"/>
    <mergeCell ref="Y36:AB37"/>
    <mergeCell ref="N36:O37"/>
    <mergeCell ref="P36:Q37"/>
    <mergeCell ref="R36:R37"/>
    <mergeCell ref="S36:T37"/>
    <mergeCell ref="J37:L37"/>
    <mergeCell ref="E36:E37"/>
    <mergeCell ref="F36:F37"/>
    <mergeCell ref="U36:V37"/>
    <mergeCell ref="N25:O25"/>
    <mergeCell ref="Q25:R25"/>
    <mergeCell ref="U24:W24"/>
    <mergeCell ref="U25:W25"/>
    <mergeCell ref="Q33:R33"/>
    <mergeCell ref="T33:T34"/>
    <mergeCell ref="M33:M34"/>
    <mergeCell ref="M36:M37"/>
    <mergeCell ref="X17:Z17"/>
    <mergeCell ref="U26:W26"/>
    <mergeCell ref="U33:V34"/>
    <mergeCell ref="W33:X34"/>
    <mergeCell ref="E31:E32"/>
    <mergeCell ref="F31:F32"/>
    <mergeCell ref="AB12:AC12"/>
    <mergeCell ref="Q3:S3"/>
    <mergeCell ref="Q4:S4"/>
    <mergeCell ref="I31:I32"/>
    <mergeCell ref="U28:W28"/>
    <mergeCell ref="N6:P6"/>
    <mergeCell ref="Q6:S6"/>
    <mergeCell ref="X12:Z12"/>
    <mergeCell ref="J32:K32"/>
    <mergeCell ref="G32:H32"/>
    <mergeCell ref="F33:F34"/>
    <mergeCell ref="G31:H31"/>
    <mergeCell ref="J31:K31"/>
    <mergeCell ref="G33:I33"/>
    <mergeCell ref="G44:H44"/>
    <mergeCell ref="K33:L33"/>
    <mergeCell ref="N33:O33"/>
    <mergeCell ref="F41:F42"/>
    <mergeCell ref="H41:J41"/>
    <mergeCell ref="L41:N41"/>
    <mergeCell ref="G36:H36"/>
    <mergeCell ref="I36:I37"/>
    <mergeCell ref="J36:L36"/>
    <mergeCell ref="G37:H37"/>
    <mergeCell ref="I42:K42"/>
    <mergeCell ref="M42:O42"/>
    <mergeCell ref="X42:Z42"/>
    <mergeCell ref="P41:P42"/>
    <mergeCell ref="Q42:R42"/>
    <mergeCell ref="Q41:R41"/>
    <mergeCell ref="T41:U41"/>
    <mergeCell ref="T42:V42"/>
    <mergeCell ref="W41:Y41"/>
    <mergeCell ref="L39:O39"/>
    <mergeCell ref="G40:J40"/>
    <mergeCell ref="L40:O40"/>
    <mergeCell ref="E39:E40"/>
    <mergeCell ref="F39:F40"/>
    <mergeCell ref="G39:J39"/>
    <mergeCell ref="K39:K40"/>
  </mergeCells>
  <printOptions/>
  <pageMargins left="0.62" right="0.3937007874015748" top="0.7874015748031497" bottom="0.3937007874015748" header="0" footer="0.118110236220472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68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6" width="3.09765625" style="2" customWidth="1"/>
    <col min="17" max="18" width="3.19921875" style="2" customWidth="1"/>
    <col min="19" max="31" width="3.09765625" style="2" customWidth="1"/>
    <col min="32" max="32" width="10" style="2" customWidth="1"/>
    <col min="33" max="16384" width="4.69921875" style="2" customWidth="1"/>
  </cols>
  <sheetData>
    <row r="1" ht="20.25" customHeight="1">
      <c r="B1" s="488" t="s">
        <v>723</v>
      </c>
    </row>
    <row r="2" spans="1:43" ht="18" customHeight="1">
      <c r="A2" s="15"/>
      <c r="B2" s="15"/>
      <c r="C2" s="15"/>
      <c r="D2" s="486" t="s">
        <v>716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66"/>
      <c r="AE2" s="66"/>
      <c r="AF2" s="38"/>
      <c r="AG2" s="38"/>
      <c r="AH2" s="38"/>
      <c r="AI2" s="38"/>
      <c r="AJ2" s="38"/>
      <c r="AK2" s="38"/>
      <c r="AL2" s="38"/>
      <c r="AM2" s="38"/>
      <c r="AN2" s="38"/>
      <c r="AO2" s="39"/>
      <c r="AP2" s="39"/>
      <c r="AQ2" s="39"/>
    </row>
    <row r="3" spans="1:43" ht="18" customHeight="1">
      <c r="A3" s="15"/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66"/>
      <c r="AE3" s="66"/>
      <c r="AF3" s="38"/>
      <c r="AG3" s="38"/>
      <c r="AH3" s="38"/>
      <c r="AI3" s="38"/>
      <c r="AJ3" s="38"/>
      <c r="AK3" s="38"/>
      <c r="AL3" s="38"/>
      <c r="AM3" s="38"/>
      <c r="AN3" s="38"/>
      <c r="AO3" s="39"/>
      <c r="AP3" s="39"/>
      <c r="AQ3" s="39"/>
    </row>
    <row r="4" spans="1:43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66"/>
      <c r="AE4" s="66"/>
      <c r="AF4" s="38"/>
      <c r="AG4" s="38"/>
      <c r="AH4" s="38"/>
      <c r="AI4" s="38"/>
      <c r="AJ4" s="38"/>
      <c r="AK4" s="38"/>
      <c r="AL4" s="38"/>
      <c r="AM4" s="38"/>
      <c r="AN4" s="38"/>
      <c r="AO4" s="39"/>
      <c r="AP4" s="39"/>
      <c r="AQ4" s="39"/>
    </row>
    <row r="5" spans="1:75" ht="18" customHeight="1">
      <c r="A5" s="15"/>
      <c r="B5" s="15"/>
      <c r="C5" s="15"/>
      <c r="D5" s="15"/>
      <c r="E5" s="15" t="s">
        <v>200</v>
      </c>
      <c r="F5" s="15"/>
      <c r="G5" s="15"/>
      <c r="H5" s="15"/>
      <c r="I5" s="15"/>
      <c r="J5" s="570" t="s">
        <v>136</v>
      </c>
      <c r="K5" s="570"/>
      <c r="L5" s="570"/>
      <c r="M5" s="570"/>
      <c r="N5" s="15"/>
      <c r="O5" s="18" t="s">
        <v>70</v>
      </c>
      <c r="P5" s="572">
        <f>VLOOKUP($J$5,AF8:AK9,2,FALSE)</f>
        <v>7</v>
      </c>
      <c r="Q5" s="572"/>
      <c r="R5" s="15" t="s">
        <v>69</v>
      </c>
      <c r="S5" s="18" t="s">
        <v>71</v>
      </c>
      <c r="T5" s="18"/>
      <c r="U5" s="18"/>
      <c r="V5" s="18"/>
      <c r="W5" s="18"/>
      <c r="X5" s="15"/>
      <c r="Y5" s="15"/>
      <c r="Z5" s="15"/>
      <c r="AA5" s="15"/>
      <c r="AB5" s="15"/>
      <c r="AC5" s="15"/>
      <c r="AD5" s="66"/>
      <c r="AE5" s="15"/>
      <c r="AF5" s="41" t="s">
        <v>201</v>
      </c>
      <c r="AG5" s="41" t="s">
        <v>117</v>
      </c>
      <c r="AH5" s="41" t="s">
        <v>118</v>
      </c>
      <c r="AI5" s="41"/>
      <c r="AJ5" s="41" t="s">
        <v>120</v>
      </c>
      <c r="AK5" s="41"/>
      <c r="AL5" s="112"/>
      <c r="AM5" s="112"/>
      <c r="AN5" s="112"/>
      <c r="AO5" s="144"/>
      <c r="AP5" s="144"/>
      <c r="AQ5" s="145"/>
      <c r="AR5" s="8"/>
      <c r="AS5" s="7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</row>
    <row r="6" spans="1:75" ht="18" customHeight="1">
      <c r="A6" s="15"/>
      <c r="B6" s="15"/>
      <c r="C6" s="15"/>
      <c r="D6" s="15"/>
      <c r="E6" s="15"/>
      <c r="F6" s="15" t="s">
        <v>72</v>
      </c>
      <c r="G6" s="15"/>
      <c r="H6" s="15"/>
      <c r="I6" s="15"/>
      <c r="J6" s="15"/>
      <c r="K6" s="15"/>
      <c r="L6" s="15"/>
      <c r="M6" s="588" t="s">
        <v>202</v>
      </c>
      <c r="N6" s="569"/>
      <c r="O6" s="581">
        <f>VLOOKUP($J$5,$AF$8:$AK$9,3,FALSE)</f>
        <v>11800</v>
      </c>
      <c r="P6" s="581"/>
      <c r="Q6" s="590"/>
      <c r="R6" s="15"/>
      <c r="S6" s="15" t="s">
        <v>203</v>
      </c>
      <c r="T6" s="15"/>
      <c r="U6" s="146"/>
      <c r="V6" s="146"/>
      <c r="W6" s="15"/>
      <c r="X6" s="15"/>
      <c r="Y6" s="15"/>
      <c r="Z6" s="15"/>
      <c r="AA6" s="15"/>
      <c r="AB6" s="15"/>
      <c r="AC6" s="15"/>
      <c r="AD6" s="66"/>
      <c r="AE6" s="15"/>
      <c r="AF6" s="575" t="s">
        <v>158</v>
      </c>
      <c r="AG6" s="147" t="s">
        <v>128</v>
      </c>
      <c r="AH6" s="573" t="s">
        <v>137</v>
      </c>
      <c r="AI6" s="574"/>
      <c r="AJ6" s="573" t="s">
        <v>138</v>
      </c>
      <c r="AK6" s="574"/>
      <c r="AL6" s="136"/>
      <c r="AM6" s="136"/>
      <c r="AN6" s="136"/>
      <c r="AO6" s="145"/>
      <c r="AP6" s="145"/>
      <c r="AQ6" s="145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</row>
    <row r="7" spans="1:75" ht="18" customHeight="1">
      <c r="A7" s="15"/>
      <c r="B7" s="15"/>
      <c r="C7" s="15"/>
      <c r="D7" s="15"/>
      <c r="E7" s="15"/>
      <c r="F7" s="15" t="s">
        <v>73</v>
      </c>
      <c r="G7" s="15"/>
      <c r="H7" s="15"/>
      <c r="I7" s="15"/>
      <c r="J7" s="15"/>
      <c r="K7" s="15"/>
      <c r="L7" s="15"/>
      <c r="M7" s="588" t="s">
        <v>204</v>
      </c>
      <c r="N7" s="588"/>
      <c r="O7" s="581">
        <v>5</v>
      </c>
      <c r="P7" s="581"/>
      <c r="Q7" s="542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66"/>
      <c r="AE7" s="148"/>
      <c r="AF7" s="576"/>
      <c r="AG7" s="149" t="s">
        <v>205</v>
      </c>
      <c r="AH7" s="583" t="s">
        <v>206</v>
      </c>
      <c r="AI7" s="584"/>
      <c r="AJ7" s="583" t="s">
        <v>206</v>
      </c>
      <c r="AK7" s="584"/>
      <c r="AL7" s="136"/>
      <c r="AM7" s="136"/>
      <c r="AN7" s="136"/>
      <c r="AO7" s="145"/>
      <c r="AP7" s="145"/>
      <c r="AQ7" s="145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spans="1:75" ht="18" customHeight="1">
      <c r="A8" s="15"/>
      <c r="B8" s="15"/>
      <c r="C8" s="15"/>
      <c r="D8" s="15"/>
      <c r="E8" s="15"/>
      <c r="F8" s="15" t="s">
        <v>74</v>
      </c>
      <c r="G8" s="15"/>
      <c r="H8" s="15"/>
      <c r="I8" s="15"/>
      <c r="J8" s="15"/>
      <c r="K8" s="15"/>
      <c r="L8" s="15"/>
      <c r="M8" s="588" t="s">
        <v>207</v>
      </c>
      <c r="N8" s="588"/>
      <c r="O8" s="581">
        <f>VLOOKUP($J$5,$AF$8:$AK$9,5,FALSE)</f>
        <v>4250</v>
      </c>
      <c r="P8" s="581"/>
      <c r="Q8" s="542"/>
      <c r="R8" s="15"/>
      <c r="S8" s="15" t="s">
        <v>206</v>
      </c>
      <c r="T8" s="15"/>
      <c r="U8" s="146"/>
      <c r="V8" s="146"/>
      <c r="W8" s="15"/>
      <c r="X8" s="15"/>
      <c r="Y8" s="15"/>
      <c r="Z8" s="15"/>
      <c r="AA8" s="15"/>
      <c r="AB8" s="15"/>
      <c r="AC8" s="15"/>
      <c r="AD8" s="66"/>
      <c r="AE8" s="15"/>
      <c r="AF8" s="150" t="s">
        <v>135</v>
      </c>
      <c r="AG8" s="87">
        <v>7</v>
      </c>
      <c r="AH8" s="585">
        <v>11800</v>
      </c>
      <c r="AI8" s="560"/>
      <c r="AJ8" s="585">
        <v>2360</v>
      </c>
      <c r="AK8" s="560"/>
      <c r="AL8" s="136"/>
      <c r="AM8" s="136"/>
      <c r="AN8" s="136"/>
      <c r="AO8" s="145"/>
      <c r="AP8" s="145"/>
      <c r="AQ8" s="145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1:75" ht="1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8"/>
      <c r="O9" s="91"/>
      <c r="P9" s="91"/>
      <c r="Q9" s="91"/>
      <c r="R9" s="91"/>
      <c r="S9" s="91"/>
      <c r="T9" s="15"/>
      <c r="U9" s="15"/>
      <c r="V9" s="15"/>
      <c r="W9" s="15"/>
      <c r="X9" s="15"/>
      <c r="Y9" s="15"/>
      <c r="Z9" s="15"/>
      <c r="AA9" s="15"/>
      <c r="AB9" s="15"/>
      <c r="AC9" s="15"/>
      <c r="AD9" s="66"/>
      <c r="AE9" s="15"/>
      <c r="AF9" s="151" t="s">
        <v>136</v>
      </c>
      <c r="AG9" s="108">
        <v>7</v>
      </c>
      <c r="AH9" s="561">
        <v>11800</v>
      </c>
      <c r="AI9" s="562"/>
      <c r="AJ9" s="561">
        <v>4250</v>
      </c>
      <c r="AK9" s="562"/>
      <c r="AL9" s="136"/>
      <c r="AM9" s="136"/>
      <c r="AN9" s="136"/>
      <c r="AO9" s="145"/>
      <c r="AP9" s="145"/>
      <c r="AQ9" s="145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</row>
    <row r="10" spans="1:75" ht="18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66"/>
      <c r="AE10" s="15"/>
      <c r="AF10" s="136"/>
      <c r="AG10" s="136"/>
      <c r="AH10" s="136"/>
      <c r="AI10" s="136"/>
      <c r="AJ10" s="136"/>
      <c r="AK10" s="136"/>
      <c r="AL10" s="136"/>
      <c r="AM10" s="136"/>
      <c r="AN10" s="136"/>
      <c r="AO10" s="145"/>
      <c r="AP10" s="145"/>
      <c r="AQ10" s="145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</row>
    <row r="11" spans="1:43" ht="18" customHeight="1">
      <c r="A11" s="15"/>
      <c r="B11" s="15"/>
      <c r="C11" s="15"/>
      <c r="D11" s="15"/>
      <c r="E11" s="15" t="s">
        <v>86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690">
        <v>1800</v>
      </c>
      <c r="R11" s="691"/>
      <c r="S11" s="691"/>
      <c r="T11" s="15" t="s">
        <v>208</v>
      </c>
      <c r="U11" s="15"/>
      <c r="V11" s="15"/>
      <c r="W11" s="15"/>
      <c r="X11" s="15"/>
      <c r="Y11" s="15"/>
      <c r="Z11" s="15"/>
      <c r="AA11" s="15"/>
      <c r="AB11" s="15"/>
      <c r="AC11" s="15"/>
      <c r="AD11" s="66"/>
      <c r="AE11" s="66"/>
      <c r="AF11" s="38"/>
      <c r="AG11" s="38"/>
      <c r="AH11" s="38"/>
      <c r="AI11" s="38"/>
      <c r="AJ11" s="38"/>
      <c r="AK11" s="38"/>
      <c r="AL11" s="38"/>
      <c r="AM11" s="38"/>
      <c r="AN11" s="38"/>
      <c r="AO11" s="39"/>
      <c r="AP11" s="39"/>
      <c r="AQ11" s="39"/>
    </row>
    <row r="12" spans="1:43" ht="18" customHeight="1">
      <c r="A12" s="15"/>
      <c r="B12" s="15"/>
      <c r="C12" s="15"/>
      <c r="D12" s="15"/>
      <c r="E12" s="15" t="s">
        <v>87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690">
        <f>おやご!$Q$4</f>
        <v>2000</v>
      </c>
      <c r="R12" s="691"/>
      <c r="S12" s="691"/>
      <c r="T12" s="15" t="s">
        <v>208</v>
      </c>
      <c r="U12" s="15" t="s">
        <v>88</v>
      </c>
      <c r="V12" s="15"/>
      <c r="W12" s="15"/>
      <c r="X12" s="15"/>
      <c r="Y12" s="15"/>
      <c r="Z12" s="15"/>
      <c r="AA12" s="15"/>
      <c r="AB12" s="15"/>
      <c r="AC12" s="15"/>
      <c r="AD12" s="66"/>
      <c r="AE12" s="66"/>
      <c r="AF12" s="38"/>
      <c r="AG12" s="38"/>
      <c r="AH12" s="38"/>
      <c r="AI12" s="38"/>
      <c r="AJ12" s="38"/>
      <c r="AK12" s="38"/>
      <c r="AL12" s="38"/>
      <c r="AM12" s="38"/>
      <c r="AN12" s="38"/>
      <c r="AO12" s="39"/>
      <c r="AP12" s="39"/>
      <c r="AQ12" s="39"/>
    </row>
    <row r="13" spans="1:43" ht="18" customHeight="1">
      <c r="A13" s="15"/>
      <c r="B13" s="15"/>
      <c r="C13" s="6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6"/>
      <c r="AF13" s="38"/>
      <c r="AG13" s="38"/>
      <c r="AH13" s="38"/>
      <c r="AI13" s="38"/>
      <c r="AJ13" s="38"/>
      <c r="AK13" s="38"/>
      <c r="AL13" s="38"/>
      <c r="AM13" s="38"/>
      <c r="AN13" s="38"/>
      <c r="AO13" s="39"/>
      <c r="AP13" s="39"/>
      <c r="AQ13" s="39"/>
    </row>
    <row r="14" spans="1:43" ht="18" customHeight="1">
      <c r="A14" s="15"/>
      <c r="B14" s="15"/>
      <c r="C14" s="64"/>
      <c r="D14" s="15"/>
      <c r="E14" s="15"/>
      <c r="F14" s="15"/>
      <c r="G14" s="15"/>
      <c r="H14" s="15"/>
      <c r="I14" s="15"/>
      <c r="J14" s="15"/>
      <c r="K14" s="15"/>
      <c r="L14" s="541">
        <f>$Q$11</f>
        <v>1800</v>
      </c>
      <c r="M14" s="692"/>
      <c r="N14" s="692"/>
      <c r="O14" s="692"/>
      <c r="P14" s="15"/>
      <c r="Q14" s="35"/>
      <c r="R14" s="541">
        <f>$Q$11</f>
        <v>1800</v>
      </c>
      <c r="S14" s="692"/>
      <c r="T14" s="692"/>
      <c r="U14" s="692"/>
      <c r="V14" s="15"/>
      <c r="W14" s="15"/>
      <c r="X14" s="15"/>
      <c r="Y14" s="15"/>
      <c r="Z14" s="15"/>
      <c r="AA14" s="15"/>
      <c r="AB14" s="15"/>
      <c r="AC14" s="15"/>
      <c r="AD14" s="15"/>
      <c r="AE14" s="66"/>
      <c r="AF14" s="38"/>
      <c r="AG14" s="38"/>
      <c r="AH14" s="38"/>
      <c r="AI14" s="38"/>
      <c r="AJ14" s="38"/>
      <c r="AK14" s="38"/>
      <c r="AL14" s="38"/>
      <c r="AM14" s="38"/>
      <c r="AN14" s="38"/>
      <c r="AO14" s="39"/>
      <c r="AP14" s="39"/>
      <c r="AQ14" s="39"/>
    </row>
    <row r="15" spans="1:43" ht="18" customHeight="1">
      <c r="A15" s="15"/>
      <c r="B15" s="15"/>
      <c r="C15" s="6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5"/>
      <c r="R15" s="122"/>
      <c r="S15" s="122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66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39"/>
      <c r="AQ15" s="39"/>
    </row>
    <row r="16" spans="1:43" ht="18" customHeight="1">
      <c r="A16" s="15"/>
      <c r="B16" s="15"/>
      <c r="C16" s="6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541">
        <f>$Q$11</f>
        <v>1800</v>
      </c>
      <c r="P16" s="692"/>
      <c r="Q16" s="692"/>
      <c r="R16" s="692"/>
      <c r="S16" s="16"/>
      <c r="T16" s="15"/>
      <c r="U16" s="15"/>
      <c r="V16" s="38"/>
      <c r="W16" s="135"/>
      <c r="X16" s="135"/>
      <c r="Y16" s="38"/>
      <c r="Z16" s="135" t="s">
        <v>85</v>
      </c>
      <c r="AA16" s="15"/>
      <c r="AB16" s="15"/>
      <c r="AC16" s="15"/>
      <c r="AD16" s="15"/>
      <c r="AE16" s="66"/>
      <c r="AF16" s="38"/>
      <c r="AG16" s="38"/>
      <c r="AH16" s="38"/>
      <c r="AI16" s="38"/>
      <c r="AJ16" s="38"/>
      <c r="AK16" s="38"/>
      <c r="AL16" s="38"/>
      <c r="AM16" s="38"/>
      <c r="AN16" s="38"/>
      <c r="AO16" s="39"/>
      <c r="AP16" s="39"/>
      <c r="AQ16" s="39"/>
    </row>
    <row r="17" spans="1:43" ht="18" customHeight="1">
      <c r="A17" s="15"/>
      <c r="B17" s="15"/>
      <c r="C17" s="6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6"/>
      <c r="T17" s="15"/>
      <c r="U17" s="15"/>
      <c r="V17" s="15"/>
      <c r="W17" s="15"/>
      <c r="X17" s="15"/>
      <c r="Y17" s="135"/>
      <c r="Z17" s="15"/>
      <c r="AA17" s="15"/>
      <c r="AB17" s="15"/>
      <c r="AC17" s="15"/>
      <c r="AD17" s="66"/>
      <c r="AE17" s="66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39"/>
      <c r="AQ17" s="39"/>
    </row>
    <row r="18" spans="1:43" ht="18" customHeight="1">
      <c r="A18" s="15"/>
      <c r="B18" s="15"/>
      <c r="C18" s="6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6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66"/>
      <c r="AE18" s="66"/>
      <c r="AF18" s="38"/>
      <c r="AG18" s="38"/>
      <c r="AH18" s="38"/>
      <c r="AI18" s="38"/>
      <c r="AJ18" s="38"/>
      <c r="AK18" s="38"/>
      <c r="AL18" s="38"/>
      <c r="AM18" s="38"/>
      <c r="AN18" s="38"/>
      <c r="AO18" s="39"/>
      <c r="AP18" s="39"/>
      <c r="AQ18" s="39"/>
    </row>
    <row r="19" spans="1:43" ht="18" customHeight="1">
      <c r="A19" s="15"/>
      <c r="B19" s="15"/>
      <c r="C19" s="6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8"/>
      <c r="AA19" s="15"/>
      <c r="AB19" s="38"/>
      <c r="AC19" s="15"/>
      <c r="AD19" s="66"/>
      <c r="AE19" s="66"/>
      <c r="AF19" s="38"/>
      <c r="AG19" s="38"/>
      <c r="AH19" s="38"/>
      <c r="AI19" s="38"/>
      <c r="AJ19" s="38"/>
      <c r="AK19" s="38"/>
      <c r="AL19" s="38"/>
      <c r="AM19" s="38"/>
      <c r="AN19" s="38"/>
      <c r="AO19" s="39"/>
      <c r="AP19" s="39"/>
      <c r="AQ19" s="39"/>
    </row>
    <row r="20" spans="1:43" ht="18" customHeight="1">
      <c r="A20" s="15"/>
      <c r="B20" s="15"/>
      <c r="C20" s="64"/>
      <c r="D20" s="15"/>
      <c r="E20" s="15"/>
      <c r="F20" s="15"/>
      <c r="G20" s="136" t="s">
        <v>89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8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66"/>
      <c r="AE20" s="66"/>
      <c r="AF20" s="38"/>
      <c r="AG20" s="38"/>
      <c r="AH20" s="38"/>
      <c r="AI20" s="38"/>
      <c r="AJ20" s="38"/>
      <c r="AK20" s="38"/>
      <c r="AL20" s="38"/>
      <c r="AM20" s="38"/>
      <c r="AN20" s="38"/>
      <c r="AO20" s="39"/>
      <c r="AP20" s="39"/>
      <c r="AQ20" s="39"/>
    </row>
    <row r="21" spans="1:43" ht="18" customHeight="1">
      <c r="A21" s="15"/>
      <c r="B21" s="15"/>
      <c r="C21" s="6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572"/>
      <c r="AC21" s="572"/>
      <c r="AD21" s="66"/>
      <c r="AE21" s="66"/>
      <c r="AF21" s="38"/>
      <c r="AG21" s="38"/>
      <c r="AH21" s="38"/>
      <c r="AI21" s="38"/>
      <c r="AJ21" s="38"/>
      <c r="AK21" s="38"/>
      <c r="AL21" s="38"/>
      <c r="AM21" s="38"/>
      <c r="AN21" s="38"/>
      <c r="AO21" s="39"/>
      <c r="AP21" s="39"/>
      <c r="AQ21" s="39"/>
    </row>
    <row r="22" spans="1:43" ht="18" customHeight="1">
      <c r="A22" s="15"/>
      <c r="B22" s="15"/>
      <c r="C22" s="6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 t="s">
        <v>209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66"/>
      <c r="AE22" s="66"/>
      <c r="AF22" s="38"/>
      <c r="AG22" s="38"/>
      <c r="AH22" s="38"/>
      <c r="AI22" s="38"/>
      <c r="AJ22" s="38"/>
      <c r="AK22" s="38"/>
      <c r="AL22" s="38"/>
      <c r="AM22" s="38"/>
      <c r="AN22" s="38"/>
      <c r="AO22" s="39"/>
      <c r="AP22" s="39"/>
      <c r="AQ22" s="39"/>
    </row>
    <row r="23" spans="1:43" ht="18" customHeight="1">
      <c r="A23" s="15"/>
      <c r="B23" s="15"/>
      <c r="C23" s="64"/>
      <c r="D23" s="15"/>
      <c r="E23" s="15"/>
      <c r="F23" s="39"/>
      <c r="G23" s="3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541">
        <f>$Q$12</f>
        <v>2000</v>
      </c>
      <c r="Z23" s="572"/>
      <c r="AA23" s="572"/>
      <c r="AB23" s="15"/>
      <c r="AC23" s="15"/>
      <c r="AD23" s="66"/>
      <c r="AE23" s="66"/>
      <c r="AF23" s="38"/>
      <c r="AG23" s="38"/>
      <c r="AH23" s="38"/>
      <c r="AI23" s="38"/>
      <c r="AJ23" s="38"/>
      <c r="AK23" s="38"/>
      <c r="AL23" s="38"/>
      <c r="AM23" s="38"/>
      <c r="AN23" s="38"/>
      <c r="AO23" s="39"/>
      <c r="AP23" s="39"/>
      <c r="AQ23" s="39"/>
    </row>
    <row r="24" spans="1:43" ht="18" customHeight="1">
      <c r="A24" s="15"/>
      <c r="B24" s="15"/>
      <c r="C24" s="64"/>
      <c r="D24" s="15"/>
      <c r="E24" s="15"/>
      <c r="F24" s="39"/>
      <c r="G24" s="39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572"/>
      <c r="Z24" s="572"/>
      <c r="AA24" s="572"/>
      <c r="AB24" s="15"/>
      <c r="AC24" s="15"/>
      <c r="AD24" s="66"/>
      <c r="AE24" s="66"/>
      <c r="AF24" s="38"/>
      <c r="AG24" s="38"/>
      <c r="AH24" s="38"/>
      <c r="AI24" s="38"/>
      <c r="AJ24" s="38"/>
      <c r="AK24" s="38"/>
      <c r="AL24" s="38"/>
      <c r="AM24" s="38"/>
      <c r="AN24" s="38"/>
      <c r="AO24" s="39"/>
      <c r="AP24" s="39"/>
      <c r="AQ24" s="39"/>
    </row>
    <row r="25" spans="1:43" ht="18" customHeight="1">
      <c r="A25" s="15"/>
      <c r="B25" s="15"/>
      <c r="C25" s="6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66"/>
      <c r="AE25" s="66"/>
      <c r="AF25" s="38"/>
      <c r="AG25" s="38"/>
      <c r="AH25" s="38"/>
      <c r="AI25" s="38"/>
      <c r="AJ25" s="38"/>
      <c r="AK25" s="38"/>
      <c r="AL25" s="38"/>
      <c r="AM25" s="38"/>
      <c r="AN25" s="38"/>
      <c r="AO25" s="39"/>
      <c r="AP25" s="39"/>
      <c r="AQ25" s="39"/>
    </row>
    <row r="26" spans="1:43" ht="18" customHeight="1">
      <c r="A26" s="15"/>
      <c r="B26" s="15"/>
      <c r="C26" s="6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66"/>
      <c r="AE26" s="66"/>
      <c r="AF26" s="38"/>
      <c r="AG26" s="38"/>
      <c r="AH26" s="38"/>
      <c r="AI26" s="38"/>
      <c r="AJ26" s="38"/>
      <c r="AK26" s="38"/>
      <c r="AL26" s="38"/>
      <c r="AM26" s="38"/>
      <c r="AN26" s="38"/>
      <c r="AO26" s="39"/>
      <c r="AP26" s="39"/>
      <c r="AQ26" s="39"/>
    </row>
    <row r="27" spans="1:43" ht="18" customHeight="1">
      <c r="A27" s="15"/>
      <c r="B27" s="15"/>
      <c r="C27" s="6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29"/>
      <c r="AC27" s="15"/>
      <c r="AD27" s="66"/>
      <c r="AE27" s="66"/>
      <c r="AF27" s="38"/>
      <c r="AG27" s="38"/>
      <c r="AH27" s="38"/>
      <c r="AI27" s="38"/>
      <c r="AJ27" s="38"/>
      <c r="AK27" s="38"/>
      <c r="AL27" s="38"/>
      <c r="AM27" s="38"/>
      <c r="AN27" s="38"/>
      <c r="AO27" s="39"/>
      <c r="AP27" s="39"/>
      <c r="AQ27" s="39"/>
    </row>
    <row r="28" spans="1:43" ht="18" customHeight="1">
      <c r="A28" s="15"/>
      <c r="B28" s="15"/>
      <c r="C28" s="6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 t="s">
        <v>210</v>
      </c>
      <c r="AA28" s="15"/>
      <c r="AB28" s="15"/>
      <c r="AC28" s="15"/>
      <c r="AD28" s="66"/>
      <c r="AE28" s="66"/>
      <c r="AF28" s="38"/>
      <c r="AG28" s="38"/>
      <c r="AH28" s="38"/>
      <c r="AI28" s="38"/>
      <c r="AJ28" s="38"/>
      <c r="AK28" s="38"/>
      <c r="AL28" s="38"/>
      <c r="AM28" s="38"/>
      <c r="AN28" s="38"/>
      <c r="AO28" s="39"/>
      <c r="AP28" s="39"/>
      <c r="AQ28" s="39"/>
    </row>
    <row r="29" spans="1:43" ht="18" customHeight="1">
      <c r="A29" s="15"/>
      <c r="B29" s="15"/>
      <c r="C29" s="6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66"/>
      <c r="AE29" s="66"/>
      <c r="AF29" s="38"/>
      <c r="AG29" s="38"/>
      <c r="AH29" s="38"/>
      <c r="AI29" s="38"/>
      <c r="AJ29" s="38"/>
      <c r="AK29" s="38"/>
      <c r="AL29" s="38"/>
      <c r="AM29" s="38"/>
      <c r="AN29" s="38"/>
      <c r="AO29" s="39"/>
      <c r="AP29" s="39"/>
      <c r="AQ29" s="39"/>
    </row>
    <row r="30" spans="1:43" ht="18" customHeight="1">
      <c r="A30" s="15"/>
      <c r="B30" s="15"/>
      <c r="C30" s="6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9"/>
      <c r="W30" s="15"/>
      <c r="X30" s="38"/>
      <c r="Y30" s="15"/>
      <c r="Z30" s="15"/>
      <c r="AA30" s="15"/>
      <c r="AB30" s="15"/>
      <c r="AC30" s="15"/>
      <c r="AD30" s="66"/>
      <c r="AE30" s="66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39"/>
      <c r="AQ30" s="39"/>
    </row>
    <row r="31" spans="1:43" ht="18" customHeight="1">
      <c r="A31" s="15"/>
      <c r="B31" s="15"/>
      <c r="C31" s="64"/>
      <c r="D31" s="15"/>
      <c r="E31" s="15"/>
      <c r="F31" s="15"/>
      <c r="G31" s="15"/>
      <c r="H31" s="15"/>
      <c r="I31" s="15"/>
      <c r="J31" s="15"/>
      <c r="K31" s="36"/>
      <c r="L31" s="36"/>
      <c r="M31" s="36"/>
      <c r="N31" s="36"/>
      <c r="O31" s="36"/>
      <c r="P31" s="15"/>
      <c r="Q31" s="27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66"/>
      <c r="AE31" s="66"/>
      <c r="AF31" s="38"/>
      <c r="AG31" s="38"/>
      <c r="AH31" s="38"/>
      <c r="AI31" s="38"/>
      <c r="AJ31" s="38"/>
      <c r="AK31" s="38"/>
      <c r="AL31" s="38"/>
      <c r="AM31" s="38"/>
      <c r="AN31" s="38"/>
      <c r="AO31" s="39"/>
      <c r="AP31" s="39"/>
      <c r="AQ31" s="39"/>
    </row>
    <row r="32" spans="1:43" ht="18" customHeight="1">
      <c r="A32" s="15"/>
      <c r="B32" s="15"/>
      <c r="C32" s="6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66"/>
      <c r="AE32" s="66"/>
      <c r="AF32" s="38"/>
      <c r="AG32" s="38"/>
      <c r="AH32" s="38"/>
      <c r="AI32" s="38"/>
      <c r="AJ32" s="38"/>
      <c r="AK32" s="38"/>
      <c r="AL32" s="38"/>
      <c r="AM32" s="38"/>
      <c r="AN32" s="38"/>
      <c r="AO32" s="39"/>
      <c r="AP32" s="39"/>
      <c r="AQ32" s="39"/>
    </row>
    <row r="33" spans="1:43" ht="18" customHeight="1">
      <c r="A33" s="15"/>
      <c r="B33" s="15"/>
      <c r="C33" s="15"/>
      <c r="D33" s="15" t="s">
        <v>90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66"/>
      <c r="AE33" s="66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9"/>
      <c r="AQ33" s="39"/>
    </row>
    <row r="34" spans="1:43" ht="18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66"/>
      <c r="AE34" s="66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9"/>
      <c r="AQ34" s="39"/>
    </row>
    <row r="35" spans="1:43" ht="18" customHeight="1">
      <c r="A35" s="15"/>
      <c r="B35" s="15"/>
      <c r="C35" s="15"/>
      <c r="D35" s="15" t="s">
        <v>91</v>
      </c>
      <c r="E35" s="15"/>
      <c r="F35" s="15"/>
      <c r="G35" s="15"/>
      <c r="H35" s="15"/>
      <c r="I35" s="15"/>
      <c r="J35" s="15"/>
      <c r="K35" s="15"/>
      <c r="L35" s="66"/>
      <c r="M35" s="66"/>
      <c r="N35" s="66"/>
      <c r="O35" s="66"/>
      <c r="P35" s="66"/>
      <c r="Q35" s="66"/>
      <c r="R35" s="66"/>
      <c r="S35" s="66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66"/>
      <c r="AE35" s="66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9"/>
      <c r="AQ35" s="39"/>
    </row>
    <row r="36" spans="1:43" ht="18" customHeight="1">
      <c r="A36" s="15"/>
      <c r="B36" s="15"/>
      <c r="C36" s="15"/>
      <c r="D36" s="15"/>
      <c r="E36" s="15"/>
      <c r="F36" s="15"/>
      <c r="G36" s="15" t="s">
        <v>84</v>
      </c>
      <c r="H36" s="15"/>
      <c r="I36" s="15"/>
      <c r="J36" s="15"/>
      <c r="K36" s="15"/>
      <c r="L36" s="697">
        <f>'足場板'!$X$27</f>
        <v>184</v>
      </c>
      <c r="M36" s="697"/>
      <c r="N36" s="18" t="s">
        <v>69</v>
      </c>
      <c r="O36" s="698">
        <f>$Q$11/1000</f>
        <v>1.8</v>
      </c>
      <c r="P36" s="698"/>
      <c r="Q36" s="18" t="s">
        <v>69</v>
      </c>
      <c r="R36" s="572">
        <f>$Q$12/1000</f>
        <v>2</v>
      </c>
      <c r="S36" s="572"/>
      <c r="T36" s="15"/>
      <c r="U36" s="19" t="s">
        <v>211</v>
      </c>
      <c r="V36" s="591">
        <f>L36*O36*$R$36</f>
        <v>662</v>
      </c>
      <c r="W36" s="571"/>
      <c r="X36" s="571"/>
      <c r="Y36" s="15" t="s">
        <v>212</v>
      </c>
      <c r="Z36" s="15"/>
      <c r="AA36" s="15"/>
      <c r="AB36" s="15"/>
      <c r="AC36" s="15"/>
      <c r="AD36" s="66"/>
      <c r="AE36" s="66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9"/>
      <c r="AQ36" s="39"/>
    </row>
    <row r="37" spans="1:43" ht="18" customHeight="1">
      <c r="A37" s="15"/>
      <c r="B37" s="15"/>
      <c r="C37" s="15"/>
      <c r="D37" s="15"/>
      <c r="E37" s="15"/>
      <c r="F37" s="15"/>
      <c r="G37" s="662" t="s">
        <v>213</v>
      </c>
      <c r="H37" s="662"/>
      <c r="I37" s="662"/>
      <c r="J37" s="662"/>
      <c r="K37" s="662"/>
      <c r="L37" s="572">
        <f>'足場板'!$R$23</f>
        <v>40</v>
      </c>
      <c r="M37" s="572"/>
      <c r="N37" s="588" t="s">
        <v>69</v>
      </c>
      <c r="O37" s="698">
        <f>$Q$12/1000</f>
        <v>2</v>
      </c>
      <c r="P37" s="698"/>
      <c r="Q37" s="588" t="s">
        <v>69</v>
      </c>
      <c r="R37" s="688">
        <f>$Q$11/1000</f>
        <v>1.8</v>
      </c>
      <c r="S37" s="688"/>
      <c r="T37" s="15"/>
      <c r="U37" s="605" t="s">
        <v>211</v>
      </c>
      <c r="V37" s="591">
        <f>L37*O37*R37/R38</f>
        <v>160</v>
      </c>
      <c r="W37" s="571"/>
      <c r="X37" s="571"/>
      <c r="Y37" s="662" t="s">
        <v>212</v>
      </c>
      <c r="Z37" s="15"/>
      <c r="AA37" s="15"/>
      <c r="AB37" s="15"/>
      <c r="AC37" s="15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9"/>
      <c r="AP37" s="39"/>
      <c r="AQ37" s="39"/>
    </row>
    <row r="38" spans="1:43" ht="18" customHeight="1">
      <c r="A38" s="15"/>
      <c r="B38" s="15"/>
      <c r="C38" s="15"/>
      <c r="D38" s="15"/>
      <c r="E38" s="15"/>
      <c r="F38" s="15"/>
      <c r="G38" s="662"/>
      <c r="H38" s="662"/>
      <c r="I38" s="662"/>
      <c r="J38" s="662"/>
      <c r="K38" s="662"/>
      <c r="L38" s="590"/>
      <c r="M38" s="590"/>
      <c r="N38" s="582"/>
      <c r="O38" s="582"/>
      <c r="P38" s="582"/>
      <c r="Q38" s="582"/>
      <c r="R38" s="696">
        <f>おやご!$Q$6/1000</f>
        <v>0.9</v>
      </c>
      <c r="S38" s="696"/>
      <c r="T38" s="15"/>
      <c r="U38" s="605"/>
      <c r="V38" s="591"/>
      <c r="W38" s="571"/>
      <c r="X38" s="571"/>
      <c r="Y38" s="662"/>
      <c r="Z38" s="15"/>
      <c r="AA38" s="15"/>
      <c r="AB38" s="15"/>
      <c r="AC38" s="15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9"/>
      <c r="AQ38" s="39"/>
    </row>
    <row r="39" spans="1:43" ht="18" customHeight="1">
      <c r="A39" s="15"/>
      <c r="B39" s="15"/>
      <c r="C39" s="15"/>
      <c r="D39" s="15"/>
      <c r="E39" s="15"/>
      <c r="F39" s="15"/>
      <c r="G39" s="15" t="s">
        <v>214</v>
      </c>
      <c r="H39" s="15"/>
      <c r="I39" s="15"/>
      <c r="J39" s="15"/>
      <c r="K39" s="15"/>
      <c r="L39" s="697">
        <f>'足場板'!$R$25</f>
        <v>27</v>
      </c>
      <c r="M39" s="697"/>
      <c r="N39" s="18" t="s">
        <v>69</v>
      </c>
      <c r="O39" s="698">
        <f>$Q$11/1000</f>
        <v>1.8</v>
      </c>
      <c r="P39" s="698"/>
      <c r="Q39" s="66"/>
      <c r="R39" s="19"/>
      <c r="S39" s="19"/>
      <c r="T39" s="15"/>
      <c r="U39" s="19" t="s">
        <v>211</v>
      </c>
      <c r="V39" s="591">
        <f>L39*O39</f>
        <v>49</v>
      </c>
      <c r="W39" s="571"/>
      <c r="X39" s="571"/>
      <c r="Y39" s="15" t="s">
        <v>212</v>
      </c>
      <c r="Z39" s="15"/>
      <c r="AA39" s="15"/>
      <c r="AB39" s="15"/>
      <c r="AC39" s="15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9"/>
      <c r="AP39" s="39"/>
      <c r="AQ39" s="39"/>
    </row>
    <row r="40" spans="1:43" ht="18" customHeight="1">
      <c r="A40" s="15"/>
      <c r="B40" s="15"/>
      <c r="C40" s="15"/>
      <c r="D40" s="15"/>
      <c r="E40" s="15"/>
      <c r="F40" s="15"/>
      <c r="G40" s="124" t="s">
        <v>92</v>
      </c>
      <c r="H40" s="124"/>
      <c r="I40" s="124"/>
      <c r="J40" s="124"/>
      <c r="K40" s="124"/>
      <c r="L40" s="124"/>
      <c r="M40" s="124"/>
      <c r="N40" s="142"/>
      <c r="O40" s="124"/>
      <c r="P40" s="124"/>
      <c r="Q40" s="142"/>
      <c r="R40" s="142"/>
      <c r="S40" s="124"/>
      <c r="T40" s="124"/>
      <c r="U40" s="117" t="s">
        <v>211</v>
      </c>
      <c r="V40" s="693">
        <f>'足場板'!$R$32</f>
        <v>1860</v>
      </c>
      <c r="W40" s="689"/>
      <c r="X40" s="689"/>
      <c r="Y40" s="137" t="s">
        <v>212</v>
      </c>
      <c r="Z40" s="15"/>
      <c r="AA40" s="15"/>
      <c r="AB40" s="15"/>
      <c r="AC40" s="15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9"/>
      <c r="AP40" s="39"/>
      <c r="AQ40" s="39"/>
    </row>
    <row r="41" spans="1:43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 t="s">
        <v>93</v>
      </c>
      <c r="T41" s="15"/>
      <c r="U41" s="120" t="s">
        <v>211</v>
      </c>
      <c r="V41" s="694">
        <f>SUM($V$36:$X$40)</f>
        <v>2731</v>
      </c>
      <c r="W41" s="695"/>
      <c r="X41" s="695"/>
      <c r="Y41" s="37" t="s">
        <v>212</v>
      </c>
      <c r="Z41" s="15"/>
      <c r="AA41" s="15"/>
      <c r="AB41" s="15"/>
      <c r="AC41" s="15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9"/>
      <c r="AP41" s="39"/>
      <c r="AQ41" s="39"/>
    </row>
    <row r="42" spans="1:43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8"/>
      <c r="V42" s="35"/>
      <c r="W42" s="18"/>
      <c r="X42" s="18"/>
      <c r="Y42" s="37"/>
      <c r="Z42" s="15"/>
      <c r="AA42" s="15"/>
      <c r="AB42" s="15"/>
      <c r="AC42" s="15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9"/>
      <c r="AP42" s="39"/>
      <c r="AQ42" s="39"/>
    </row>
    <row r="43" spans="1:43" ht="18" customHeight="1">
      <c r="A43" s="15"/>
      <c r="B43" s="15"/>
      <c r="C43" s="15"/>
      <c r="D43" s="15" t="s">
        <v>94</v>
      </c>
      <c r="E43" s="15"/>
      <c r="F43" s="15"/>
      <c r="G43" s="15"/>
      <c r="H43" s="15"/>
      <c r="I43" s="15"/>
      <c r="J43" s="29"/>
      <c r="K43" s="38"/>
      <c r="L43" s="38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9"/>
      <c r="AP43" s="39"/>
      <c r="AQ43" s="39"/>
    </row>
    <row r="44" spans="1:43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6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9"/>
      <c r="AP44" s="39"/>
      <c r="AQ44" s="39"/>
    </row>
    <row r="45" spans="1:43" ht="18" customHeight="1">
      <c r="A45" s="15"/>
      <c r="B45" s="15"/>
      <c r="C45" s="15"/>
      <c r="D45" s="15"/>
      <c r="E45" s="15"/>
      <c r="F45" s="18" t="s">
        <v>215</v>
      </c>
      <c r="G45" s="18" t="s">
        <v>211</v>
      </c>
      <c r="H45" s="591">
        <f>$V$41</f>
        <v>2731</v>
      </c>
      <c r="I45" s="591"/>
      <c r="J45" s="582"/>
      <c r="K45" s="15" t="s">
        <v>212</v>
      </c>
      <c r="L45" s="19" t="str">
        <f>IF($H$45&lt;=$O$45,"&lt;","&gt;")</f>
        <v>&lt;</v>
      </c>
      <c r="M45" s="588" t="s">
        <v>216</v>
      </c>
      <c r="N45" s="569"/>
      <c r="O45" s="581">
        <f>$O$8</f>
        <v>4250</v>
      </c>
      <c r="P45" s="635"/>
      <c r="Q45" s="582"/>
      <c r="R45" s="15" t="s">
        <v>212</v>
      </c>
      <c r="S45" s="699">
        <f>IF($H$45&lt;=$O$45,"","NG")</f>
      </c>
      <c r="T45" s="700"/>
      <c r="U45" s="700"/>
      <c r="V45" s="15"/>
      <c r="W45" s="15"/>
      <c r="X45" s="15"/>
      <c r="Y45" s="15"/>
      <c r="Z45" s="15"/>
      <c r="AA45" s="15"/>
      <c r="AB45" s="15"/>
      <c r="AC45" s="15"/>
      <c r="AD45" s="15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9"/>
      <c r="AP45" s="39"/>
      <c r="AQ45" s="39"/>
    </row>
    <row r="46" spans="1:43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9"/>
      <c r="AP46" s="39"/>
      <c r="AQ46" s="39"/>
    </row>
    <row r="47" spans="1:43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9"/>
      <c r="AP47" s="39"/>
      <c r="AQ47" s="39"/>
    </row>
    <row r="48" spans="1:43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9"/>
      <c r="AP48" s="39"/>
      <c r="AQ48" s="39"/>
    </row>
    <row r="49" spans="1:43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39"/>
      <c r="AQ49" s="39"/>
    </row>
    <row r="50" spans="1:43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9"/>
      <c r="AP50" s="39"/>
      <c r="AQ50" s="39"/>
    </row>
    <row r="51" spans="1:43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9"/>
      <c r="AP51" s="39"/>
      <c r="AQ51" s="39"/>
    </row>
    <row r="52" spans="1:43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9"/>
      <c r="AP52" s="39"/>
      <c r="AQ52" s="39"/>
    </row>
    <row r="53" spans="1:43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9"/>
      <c r="AP53" s="39"/>
      <c r="AQ53" s="39"/>
    </row>
    <row r="54" spans="1:43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9"/>
      <c r="AP54" s="39"/>
      <c r="AQ54" s="39"/>
    </row>
    <row r="55" spans="1:43" ht="13.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9"/>
      <c r="AP55" s="39"/>
      <c r="AQ55" s="39"/>
    </row>
    <row r="56" spans="1:43" ht="13.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9"/>
      <c r="AP56" s="39"/>
      <c r="AQ56" s="39"/>
    </row>
    <row r="57" spans="1:43" ht="13.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9"/>
      <c r="AP57" s="39"/>
      <c r="AQ57" s="39"/>
    </row>
    <row r="58" spans="1:43" ht="13.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</row>
    <row r="59" spans="1:43" ht="13.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</row>
    <row r="60" spans="1:43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</row>
    <row r="61" spans="1:43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</row>
    <row r="62" spans="1:43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</row>
    <row r="63" spans="1:43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1:43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</row>
    <row r="65" spans="1:43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43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</row>
    <row r="67" spans="1:43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</row>
    <row r="68" spans="1:43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</row>
  </sheetData>
  <sheetProtection sheet="1" objects="1" scenarios="1"/>
  <mergeCells count="47">
    <mergeCell ref="S45:U45"/>
    <mergeCell ref="H45:J45"/>
    <mergeCell ref="M45:N45"/>
    <mergeCell ref="O45:Q45"/>
    <mergeCell ref="AF6:AF7"/>
    <mergeCell ref="AH6:AI6"/>
    <mergeCell ref="AH9:AI9"/>
    <mergeCell ref="O8:Q8"/>
    <mergeCell ref="G37:K38"/>
    <mergeCell ref="L37:M38"/>
    <mergeCell ref="N37:N38"/>
    <mergeCell ref="O37:P38"/>
    <mergeCell ref="AJ6:AK6"/>
    <mergeCell ref="AH7:AI7"/>
    <mergeCell ref="AJ7:AK7"/>
    <mergeCell ref="AH8:AI8"/>
    <mergeCell ref="AJ8:AK8"/>
    <mergeCell ref="AJ9:AK9"/>
    <mergeCell ref="V39:X39"/>
    <mergeCell ref="Y37:Y38"/>
    <mergeCell ref="J5:M5"/>
    <mergeCell ref="P5:Q5"/>
    <mergeCell ref="M6:N6"/>
    <mergeCell ref="O6:Q6"/>
    <mergeCell ref="M7:N7"/>
    <mergeCell ref="O7:Q7"/>
    <mergeCell ref="M8:N8"/>
    <mergeCell ref="R38:S38"/>
    <mergeCell ref="L36:M36"/>
    <mergeCell ref="O36:P36"/>
    <mergeCell ref="L39:M39"/>
    <mergeCell ref="O39:P39"/>
    <mergeCell ref="V40:X40"/>
    <mergeCell ref="V41:X41"/>
    <mergeCell ref="Y23:AA24"/>
    <mergeCell ref="O16:R16"/>
    <mergeCell ref="U37:U38"/>
    <mergeCell ref="V37:X38"/>
    <mergeCell ref="V36:X36"/>
    <mergeCell ref="R36:S36"/>
    <mergeCell ref="Q37:Q38"/>
    <mergeCell ref="R37:S37"/>
    <mergeCell ref="AB21:AC21"/>
    <mergeCell ref="Q11:S11"/>
    <mergeCell ref="Q12:S12"/>
    <mergeCell ref="L14:O14"/>
    <mergeCell ref="R14:U14"/>
  </mergeCells>
  <dataValidations count="1">
    <dataValidation type="list" allowBlank="1" showInputMessage="1" showErrorMessage="1" sqref="J5:M5">
      <formula1>$AF$8:$AF$9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Y126"/>
  <sheetViews>
    <sheetView view="pageBreakPreview" zoomScaleNormal="75" zoomScaleSheetLayoutView="100" workbookViewId="0" topLeftCell="A1">
      <selection activeCell="C2" sqref="C2:I3"/>
    </sheetView>
  </sheetViews>
  <sheetFormatPr defaultColWidth="8.796875" defaultRowHeight="14.25"/>
  <cols>
    <col min="1" max="1" width="8.8984375" style="180" customWidth="1"/>
    <col min="2" max="2" width="8.3984375" style="180" customWidth="1"/>
    <col min="3" max="9" width="9.3984375" style="180" customWidth="1"/>
    <col min="10" max="10" width="6.09765625" style="180" customWidth="1"/>
    <col min="11" max="11" width="9" style="180" customWidth="1"/>
    <col min="12" max="12" width="10.3984375" style="180" customWidth="1"/>
    <col min="13" max="16384" width="9" style="180" customWidth="1"/>
  </cols>
  <sheetData>
    <row r="1" spans="1:51" ht="27" customHeight="1" thickBot="1">
      <c r="A1" s="173" t="s">
        <v>239</v>
      </c>
      <c r="B1" s="174"/>
      <c r="C1" s="174"/>
      <c r="D1" s="175" t="s">
        <v>240</v>
      </c>
      <c r="E1" s="174"/>
      <c r="F1" s="174"/>
      <c r="G1" s="176" t="s">
        <v>241</v>
      </c>
      <c r="H1" s="174"/>
      <c r="I1" s="177">
        <f>IF(M30&gt;=2,"○の個数は１個にして下さい",IF(M30&lt;=0,"どこか１箇所に○印をつけて下さい",VLOOKUP(L2,M8:N29,2,FALSE)))</f>
        <v>16</v>
      </c>
      <c r="J1" s="175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9"/>
      <c r="AW1" s="179"/>
      <c r="AX1" s="179"/>
      <c r="AY1" s="179"/>
    </row>
    <row r="2" spans="1:51" ht="18" customHeight="1">
      <c r="A2" s="703" t="s">
        <v>242</v>
      </c>
      <c r="B2" s="716" t="s">
        <v>243</v>
      </c>
      <c r="C2" s="721" t="s">
        <v>244</v>
      </c>
      <c r="D2" s="722"/>
      <c r="E2" s="722"/>
      <c r="F2" s="722"/>
      <c r="G2" s="722"/>
      <c r="H2" s="722"/>
      <c r="I2" s="723"/>
      <c r="J2" s="714" t="s">
        <v>245</v>
      </c>
      <c r="K2" s="178"/>
      <c r="L2" s="181" t="s">
        <v>246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9"/>
      <c r="AW2" s="179"/>
      <c r="AX2" s="179"/>
      <c r="AY2" s="179"/>
    </row>
    <row r="3" spans="1:51" ht="18" customHeight="1">
      <c r="A3" s="713"/>
      <c r="B3" s="717"/>
      <c r="C3" s="724"/>
      <c r="D3" s="725"/>
      <c r="E3" s="725"/>
      <c r="F3" s="725"/>
      <c r="G3" s="725"/>
      <c r="H3" s="725"/>
      <c r="I3" s="725"/>
      <c r="J3" s="715"/>
      <c r="K3" s="178"/>
      <c r="L3" s="181" t="s">
        <v>247</v>
      </c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9"/>
      <c r="AW3" s="179"/>
      <c r="AX3" s="179"/>
      <c r="AY3" s="179"/>
    </row>
    <row r="4" spans="1:51" ht="18" customHeight="1">
      <c r="A4" s="718" t="s">
        <v>248</v>
      </c>
      <c r="B4" s="703">
        <v>16</v>
      </c>
      <c r="C4" s="183" t="s">
        <v>249</v>
      </c>
      <c r="D4" s="184"/>
      <c r="E4" s="184"/>
      <c r="F4" s="184"/>
      <c r="G4" s="185"/>
      <c r="H4" s="185"/>
      <c r="I4" s="184"/>
      <c r="J4" s="701" t="s">
        <v>69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9"/>
      <c r="AW4" s="179"/>
      <c r="AX4" s="179"/>
      <c r="AY4" s="179"/>
    </row>
    <row r="5" spans="1:51" ht="18" customHeight="1">
      <c r="A5" s="719"/>
      <c r="B5" s="704"/>
      <c r="C5" s="183" t="s">
        <v>250</v>
      </c>
      <c r="D5" s="184"/>
      <c r="E5" s="184"/>
      <c r="F5" s="184"/>
      <c r="G5" s="184"/>
      <c r="H5" s="184"/>
      <c r="I5" s="184"/>
      <c r="J5" s="70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9"/>
      <c r="AW5" s="179"/>
      <c r="AX5" s="179"/>
      <c r="AY5" s="179"/>
    </row>
    <row r="6" spans="1:51" ht="18" customHeight="1">
      <c r="A6" s="719"/>
      <c r="B6" s="704"/>
      <c r="C6" s="186" t="s">
        <v>251</v>
      </c>
      <c r="D6" s="187"/>
      <c r="E6" s="187"/>
      <c r="F6" s="187"/>
      <c r="G6" s="184"/>
      <c r="H6" s="184"/>
      <c r="I6" s="184"/>
      <c r="J6" s="711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9"/>
      <c r="AW6" s="179"/>
      <c r="AX6" s="179"/>
      <c r="AY6" s="179"/>
    </row>
    <row r="7" spans="1:51" ht="18" customHeight="1">
      <c r="A7" s="719"/>
      <c r="B7" s="712">
        <v>18</v>
      </c>
      <c r="C7" s="188" t="s">
        <v>252</v>
      </c>
      <c r="D7" s="189"/>
      <c r="E7" s="189"/>
      <c r="F7" s="189"/>
      <c r="G7" s="189"/>
      <c r="H7" s="189"/>
      <c r="I7" s="189"/>
      <c r="J7" s="701" t="s">
        <v>69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9"/>
      <c r="AW7" s="179"/>
      <c r="AX7" s="179"/>
      <c r="AY7" s="179"/>
    </row>
    <row r="8" spans="1:51" ht="18" customHeight="1">
      <c r="A8" s="719"/>
      <c r="B8" s="704"/>
      <c r="C8" s="184" t="s">
        <v>253</v>
      </c>
      <c r="D8" s="184"/>
      <c r="E8" s="184"/>
      <c r="F8" s="184"/>
      <c r="G8" s="184"/>
      <c r="H8" s="184"/>
      <c r="I8" s="184"/>
      <c r="J8" s="708"/>
      <c r="K8" s="190">
        <v>1</v>
      </c>
      <c r="L8" s="703" t="s">
        <v>254</v>
      </c>
      <c r="M8" s="191" t="str">
        <f>J4</f>
        <v>×</v>
      </c>
      <c r="N8" s="192">
        <v>16</v>
      </c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9"/>
      <c r="AW8" s="179"/>
      <c r="AX8" s="179"/>
      <c r="AY8" s="179"/>
    </row>
    <row r="9" spans="1:51" ht="18" customHeight="1">
      <c r="A9" s="719"/>
      <c r="B9" s="704"/>
      <c r="C9" s="184" t="s">
        <v>255</v>
      </c>
      <c r="D9" s="184"/>
      <c r="E9" s="184"/>
      <c r="F9" s="184"/>
      <c r="G9" s="193"/>
      <c r="H9" s="193"/>
      <c r="I9" s="193"/>
      <c r="J9" s="711"/>
      <c r="K9" s="190">
        <v>2</v>
      </c>
      <c r="L9" s="704"/>
      <c r="M9" s="194" t="str">
        <f>J7</f>
        <v>×</v>
      </c>
      <c r="N9" s="195">
        <v>18</v>
      </c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9"/>
      <c r="AW9" s="179"/>
      <c r="AX9" s="179"/>
      <c r="AY9" s="179"/>
    </row>
    <row r="10" spans="1:51" ht="18" customHeight="1">
      <c r="A10" s="719"/>
      <c r="B10" s="726">
        <v>20</v>
      </c>
      <c r="C10" s="188" t="s">
        <v>256</v>
      </c>
      <c r="D10" s="189"/>
      <c r="E10" s="189"/>
      <c r="F10" s="189"/>
      <c r="G10" s="196"/>
      <c r="H10" s="196"/>
      <c r="I10" s="196"/>
      <c r="J10" s="701" t="s">
        <v>69</v>
      </c>
      <c r="K10" s="190">
        <v>3</v>
      </c>
      <c r="L10" s="705"/>
      <c r="M10" s="198" t="str">
        <f>J10</f>
        <v>×</v>
      </c>
      <c r="N10" s="199">
        <v>20</v>
      </c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9"/>
      <c r="AW10" s="179"/>
      <c r="AX10" s="179"/>
      <c r="AY10" s="179"/>
    </row>
    <row r="11" spans="1:51" ht="18" customHeight="1">
      <c r="A11" s="719"/>
      <c r="B11" s="727"/>
      <c r="C11" s="183" t="s">
        <v>257</v>
      </c>
      <c r="D11" s="184"/>
      <c r="E11" s="184"/>
      <c r="F11" s="184"/>
      <c r="G11" s="184"/>
      <c r="H11" s="187"/>
      <c r="I11" s="187"/>
      <c r="J11" s="702"/>
      <c r="K11" s="190">
        <v>4</v>
      </c>
      <c r="L11" s="703" t="s">
        <v>258</v>
      </c>
      <c r="M11" s="191" t="str">
        <f>J12</f>
        <v>×</v>
      </c>
      <c r="N11" s="192">
        <v>16</v>
      </c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9"/>
      <c r="AW11" s="179"/>
      <c r="AX11" s="179"/>
      <c r="AY11" s="179"/>
    </row>
    <row r="12" spans="1:51" ht="18" customHeight="1">
      <c r="A12" s="712" t="s">
        <v>258</v>
      </c>
      <c r="B12" s="181">
        <v>16</v>
      </c>
      <c r="C12" s="200" t="s">
        <v>259</v>
      </c>
      <c r="D12" s="201"/>
      <c r="E12" s="201"/>
      <c r="F12" s="201"/>
      <c r="G12" s="201"/>
      <c r="H12" s="201"/>
      <c r="I12" s="201"/>
      <c r="J12" s="202" t="s">
        <v>69</v>
      </c>
      <c r="K12" s="190">
        <v>5</v>
      </c>
      <c r="L12" s="704"/>
      <c r="M12" s="194" t="str">
        <f>J13</f>
        <v>×</v>
      </c>
      <c r="N12" s="195">
        <v>18</v>
      </c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9"/>
      <c r="AW12" s="179"/>
      <c r="AX12" s="179"/>
      <c r="AY12" s="179"/>
    </row>
    <row r="13" spans="1:51" ht="18" customHeight="1">
      <c r="A13" s="704"/>
      <c r="B13" s="727">
        <v>18</v>
      </c>
      <c r="C13" s="188" t="s">
        <v>260</v>
      </c>
      <c r="D13" s="189"/>
      <c r="E13" s="189"/>
      <c r="F13" s="189"/>
      <c r="G13" s="189"/>
      <c r="H13" s="189"/>
      <c r="I13" s="189"/>
      <c r="J13" s="701" t="s">
        <v>69</v>
      </c>
      <c r="K13" s="190">
        <v>6</v>
      </c>
      <c r="L13" s="705"/>
      <c r="M13" s="198" t="str">
        <f>J16</f>
        <v>×</v>
      </c>
      <c r="N13" s="199">
        <v>20</v>
      </c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9"/>
      <c r="AW13" s="179"/>
      <c r="AX13" s="179"/>
      <c r="AY13" s="179"/>
    </row>
    <row r="14" spans="1:51" ht="18" customHeight="1">
      <c r="A14" s="704"/>
      <c r="B14" s="727"/>
      <c r="C14" s="183" t="s">
        <v>261</v>
      </c>
      <c r="D14" s="184"/>
      <c r="E14" s="184"/>
      <c r="F14" s="184"/>
      <c r="G14" s="184"/>
      <c r="H14" s="184"/>
      <c r="I14" s="184"/>
      <c r="J14" s="708"/>
      <c r="K14" s="190">
        <v>7</v>
      </c>
      <c r="L14" s="703" t="s">
        <v>262</v>
      </c>
      <c r="M14" s="191" t="str">
        <f>J17</f>
        <v>×</v>
      </c>
      <c r="N14" s="192">
        <v>16</v>
      </c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9"/>
      <c r="AW14" s="179"/>
      <c r="AX14" s="179"/>
      <c r="AY14" s="179"/>
    </row>
    <row r="15" spans="1:51" ht="18" customHeight="1">
      <c r="A15" s="704"/>
      <c r="B15" s="727"/>
      <c r="C15" s="186" t="s">
        <v>263</v>
      </c>
      <c r="D15" s="187"/>
      <c r="E15" s="187"/>
      <c r="F15" s="187"/>
      <c r="G15" s="187"/>
      <c r="H15" s="187"/>
      <c r="I15" s="184"/>
      <c r="J15" s="711"/>
      <c r="K15" s="190">
        <v>8</v>
      </c>
      <c r="L15" s="704"/>
      <c r="M15" s="194" t="str">
        <f>J25</f>
        <v>×</v>
      </c>
      <c r="N15" s="195">
        <v>18</v>
      </c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9"/>
      <c r="AW15" s="179"/>
      <c r="AX15" s="179"/>
      <c r="AY15" s="179"/>
    </row>
    <row r="16" spans="1:51" ht="18" customHeight="1">
      <c r="A16" s="713"/>
      <c r="B16" s="181">
        <v>20</v>
      </c>
      <c r="C16" s="200" t="s">
        <v>264</v>
      </c>
      <c r="D16" s="201"/>
      <c r="E16" s="201"/>
      <c r="F16" s="201"/>
      <c r="G16" s="201"/>
      <c r="H16" s="201"/>
      <c r="I16" s="201"/>
      <c r="J16" s="202" t="s">
        <v>69</v>
      </c>
      <c r="K16" s="190">
        <v>9</v>
      </c>
      <c r="L16" s="705"/>
      <c r="M16" s="198" t="str">
        <f>J28</f>
        <v>×</v>
      </c>
      <c r="N16" s="199">
        <v>20</v>
      </c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9"/>
      <c r="AW16" s="179"/>
      <c r="AX16" s="179"/>
      <c r="AY16" s="179"/>
    </row>
    <row r="17" spans="1:51" ht="18" customHeight="1">
      <c r="A17" s="718" t="s">
        <v>265</v>
      </c>
      <c r="B17" s="703">
        <v>16</v>
      </c>
      <c r="C17" s="183" t="s">
        <v>266</v>
      </c>
      <c r="D17" s="184"/>
      <c r="E17" s="184"/>
      <c r="F17" s="184"/>
      <c r="G17" s="184"/>
      <c r="H17" s="184"/>
      <c r="I17" s="184"/>
      <c r="J17" s="710" t="s">
        <v>69</v>
      </c>
      <c r="K17" s="190">
        <v>10</v>
      </c>
      <c r="L17" s="703" t="s">
        <v>267</v>
      </c>
      <c r="M17" s="191" t="str">
        <f>J30</f>
        <v>×</v>
      </c>
      <c r="N17" s="191">
        <v>16</v>
      </c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9"/>
      <c r="AW17" s="179"/>
      <c r="AX17" s="179"/>
      <c r="AY17" s="179"/>
    </row>
    <row r="18" spans="1:51" ht="18" customHeight="1">
      <c r="A18" s="719"/>
      <c r="B18" s="704"/>
      <c r="C18" s="183" t="s">
        <v>268</v>
      </c>
      <c r="D18" s="184"/>
      <c r="E18" s="184"/>
      <c r="F18" s="184"/>
      <c r="G18" s="184"/>
      <c r="H18" s="184"/>
      <c r="I18" s="184"/>
      <c r="J18" s="709"/>
      <c r="K18" s="190">
        <v>11</v>
      </c>
      <c r="L18" s="705"/>
      <c r="M18" s="198" t="str">
        <f>J37</f>
        <v>×</v>
      </c>
      <c r="N18" s="198">
        <v>18</v>
      </c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9"/>
      <c r="AW18" s="179"/>
      <c r="AX18" s="179"/>
      <c r="AY18" s="179"/>
    </row>
    <row r="19" spans="1:51" ht="18" customHeight="1">
      <c r="A19" s="719"/>
      <c r="B19" s="704"/>
      <c r="C19" s="183" t="s">
        <v>269</v>
      </c>
      <c r="D19" s="184"/>
      <c r="E19" s="184"/>
      <c r="F19" s="184"/>
      <c r="G19" s="184"/>
      <c r="H19" s="184"/>
      <c r="I19" s="184"/>
      <c r="J19" s="709"/>
      <c r="K19" s="190">
        <v>12</v>
      </c>
      <c r="L19" s="703" t="s">
        <v>270</v>
      </c>
      <c r="M19" s="191" t="str">
        <f>J43</f>
        <v>×</v>
      </c>
      <c r="N19" s="191">
        <v>16</v>
      </c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9"/>
      <c r="AW19" s="179"/>
      <c r="AX19" s="179"/>
      <c r="AY19" s="179"/>
    </row>
    <row r="20" spans="1:51" ht="18" customHeight="1">
      <c r="A20" s="719"/>
      <c r="B20" s="704"/>
      <c r="C20" s="183" t="s">
        <v>271</v>
      </c>
      <c r="D20" s="184"/>
      <c r="E20" s="184"/>
      <c r="F20" s="184"/>
      <c r="G20" s="184"/>
      <c r="H20" s="184"/>
      <c r="I20" s="184"/>
      <c r="J20" s="709"/>
      <c r="K20" s="190">
        <v>13</v>
      </c>
      <c r="L20" s="705"/>
      <c r="M20" s="198" t="str">
        <f>J49</f>
        <v>×</v>
      </c>
      <c r="N20" s="198">
        <v>18</v>
      </c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9"/>
      <c r="AW20" s="179"/>
      <c r="AX20" s="179"/>
      <c r="AY20" s="179"/>
    </row>
    <row r="21" spans="1:51" ht="18" customHeight="1">
      <c r="A21" s="719"/>
      <c r="B21" s="704"/>
      <c r="C21" s="183" t="s">
        <v>272</v>
      </c>
      <c r="D21" s="184"/>
      <c r="E21" s="184"/>
      <c r="F21" s="184"/>
      <c r="G21" s="184"/>
      <c r="H21" s="184"/>
      <c r="I21" s="184"/>
      <c r="J21" s="709"/>
      <c r="K21" s="190">
        <v>14</v>
      </c>
      <c r="L21" s="703" t="s">
        <v>273</v>
      </c>
      <c r="M21" s="191" t="str">
        <f>J52</f>
        <v>×</v>
      </c>
      <c r="N21" s="191">
        <v>16</v>
      </c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9"/>
      <c r="AW21" s="179"/>
      <c r="AX21" s="179"/>
      <c r="AY21" s="179"/>
    </row>
    <row r="22" spans="1:51" ht="18" customHeight="1">
      <c r="A22" s="719"/>
      <c r="B22" s="704"/>
      <c r="C22" s="183" t="s">
        <v>274</v>
      </c>
      <c r="D22" s="184"/>
      <c r="E22" s="184"/>
      <c r="F22" s="184"/>
      <c r="G22" s="184"/>
      <c r="H22" s="184"/>
      <c r="I22" s="184"/>
      <c r="J22" s="709"/>
      <c r="K22" s="190">
        <v>15</v>
      </c>
      <c r="L22" s="705"/>
      <c r="M22" s="198" t="str">
        <f>J54</f>
        <v>×</v>
      </c>
      <c r="N22" s="198">
        <v>18</v>
      </c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9"/>
      <c r="AW22" s="179"/>
      <c r="AX22" s="179"/>
      <c r="AY22" s="179"/>
    </row>
    <row r="23" spans="1:51" ht="18" customHeight="1">
      <c r="A23" s="719"/>
      <c r="B23" s="704"/>
      <c r="C23" s="183" t="s">
        <v>275</v>
      </c>
      <c r="D23" s="184"/>
      <c r="E23" s="184"/>
      <c r="F23" s="184"/>
      <c r="G23" s="184"/>
      <c r="H23" s="184"/>
      <c r="I23" s="184"/>
      <c r="J23" s="709"/>
      <c r="K23" s="190">
        <v>16</v>
      </c>
      <c r="L23" s="703" t="s">
        <v>276</v>
      </c>
      <c r="M23" s="191" t="str">
        <f>J55</f>
        <v>×</v>
      </c>
      <c r="N23" s="192">
        <v>16</v>
      </c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9"/>
      <c r="AW23" s="179"/>
      <c r="AX23" s="179"/>
      <c r="AY23" s="179"/>
    </row>
    <row r="24" spans="1:51" ht="18" customHeight="1">
      <c r="A24" s="719"/>
      <c r="B24" s="713"/>
      <c r="C24" s="186" t="s">
        <v>277</v>
      </c>
      <c r="D24" s="187"/>
      <c r="E24" s="187"/>
      <c r="F24" s="187"/>
      <c r="G24" s="187"/>
      <c r="H24" s="187"/>
      <c r="I24" s="187"/>
      <c r="J24" s="702"/>
      <c r="K24" s="190">
        <v>17</v>
      </c>
      <c r="L24" s="704"/>
      <c r="M24" s="194" t="str">
        <f>J59</f>
        <v>×</v>
      </c>
      <c r="N24" s="195">
        <v>18</v>
      </c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9"/>
      <c r="AW24" s="179"/>
      <c r="AX24" s="179"/>
      <c r="AY24" s="179"/>
    </row>
    <row r="25" spans="1:51" ht="18" customHeight="1">
      <c r="A25" s="719"/>
      <c r="B25" s="712">
        <v>18</v>
      </c>
      <c r="C25" s="183" t="s">
        <v>278</v>
      </c>
      <c r="D25" s="184"/>
      <c r="E25" s="184"/>
      <c r="F25" s="184"/>
      <c r="G25" s="184"/>
      <c r="H25" s="184"/>
      <c r="I25" s="184"/>
      <c r="J25" s="701" t="s">
        <v>69</v>
      </c>
      <c r="K25" s="190">
        <v>18</v>
      </c>
      <c r="L25" s="705"/>
      <c r="M25" s="198" t="str">
        <f>J61</f>
        <v>×</v>
      </c>
      <c r="N25" s="199">
        <v>20</v>
      </c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9"/>
      <c r="AW25" s="179"/>
      <c r="AX25" s="179"/>
      <c r="AY25" s="179"/>
    </row>
    <row r="26" spans="1:51" ht="18" customHeight="1">
      <c r="A26" s="719"/>
      <c r="B26" s="704"/>
      <c r="C26" s="183" t="s">
        <v>279</v>
      </c>
      <c r="D26" s="184"/>
      <c r="E26" s="184"/>
      <c r="F26" s="184"/>
      <c r="G26" s="184"/>
      <c r="H26" s="184"/>
      <c r="I26" s="184"/>
      <c r="J26" s="708"/>
      <c r="K26" s="190">
        <v>19</v>
      </c>
      <c r="L26" s="703" t="s">
        <v>280</v>
      </c>
      <c r="M26" s="191" t="str">
        <f>J62</f>
        <v>○</v>
      </c>
      <c r="N26" s="191">
        <v>16</v>
      </c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9"/>
      <c r="AW26" s="179"/>
      <c r="AX26" s="179"/>
      <c r="AY26" s="179"/>
    </row>
    <row r="27" spans="1:51" ht="18" customHeight="1">
      <c r="A27" s="719"/>
      <c r="B27" s="713"/>
      <c r="C27" s="183" t="s">
        <v>281</v>
      </c>
      <c r="D27" s="184"/>
      <c r="E27" s="184"/>
      <c r="F27" s="184"/>
      <c r="G27" s="184"/>
      <c r="H27" s="184"/>
      <c r="I27" s="184"/>
      <c r="J27" s="711"/>
      <c r="K27" s="190">
        <v>20</v>
      </c>
      <c r="L27" s="705"/>
      <c r="M27" s="198" t="str">
        <f>J67</f>
        <v>×</v>
      </c>
      <c r="N27" s="198">
        <v>18</v>
      </c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9"/>
      <c r="AW27" s="179"/>
      <c r="AX27" s="179"/>
      <c r="AY27" s="179"/>
    </row>
    <row r="28" spans="1:51" ht="18" customHeight="1">
      <c r="A28" s="719"/>
      <c r="B28" s="712">
        <v>20</v>
      </c>
      <c r="C28" s="188" t="s">
        <v>282</v>
      </c>
      <c r="D28" s="189"/>
      <c r="E28" s="189"/>
      <c r="F28" s="189"/>
      <c r="G28" s="189"/>
      <c r="H28" s="189"/>
      <c r="I28" s="189"/>
      <c r="J28" s="701" t="s">
        <v>69</v>
      </c>
      <c r="K28" s="190">
        <v>21</v>
      </c>
      <c r="L28" s="181" t="s">
        <v>283</v>
      </c>
      <c r="M28" s="181" t="str">
        <f>J69</f>
        <v>×</v>
      </c>
      <c r="N28" s="181">
        <v>18</v>
      </c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9"/>
      <c r="AW28" s="179"/>
      <c r="AX28" s="179"/>
      <c r="AY28" s="179"/>
    </row>
    <row r="29" spans="1:51" ht="18" customHeight="1">
      <c r="A29" s="720"/>
      <c r="B29" s="713"/>
      <c r="C29" s="186" t="s">
        <v>284</v>
      </c>
      <c r="D29" s="187"/>
      <c r="E29" s="187"/>
      <c r="F29" s="187"/>
      <c r="G29" s="187"/>
      <c r="H29" s="187"/>
      <c r="I29" s="187"/>
      <c r="J29" s="702"/>
      <c r="K29" s="190">
        <v>22</v>
      </c>
      <c r="L29" s="181" t="s">
        <v>285</v>
      </c>
      <c r="M29" s="181" t="str">
        <f>J70</f>
        <v>×</v>
      </c>
      <c r="N29" s="181">
        <v>14</v>
      </c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9"/>
      <c r="AW29" s="179"/>
      <c r="AX29" s="179"/>
      <c r="AY29" s="179"/>
    </row>
    <row r="30" spans="1:51" ht="18" customHeight="1">
      <c r="A30" s="712" t="s">
        <v>286</v>
      </c>
      <c r="B30" s="703">
        <v>16</v>
      </c>
      <c r="C30" s="183" t="s">
        <v>287</v>
      </c>
      <c r="D30" s="184"/>
      <c r="E30" s="184"/>
      <c r="F30" s="184"/>
      <c r="G30" s="184"/>
      <c r="H30" s="184"/>
      <c r="I30" s="184"/>
      <c r="J30" s="710" t="s">
        <v>69</v>
      </c>
      <c r="K30" s="178"/>
      <c r="L30" s="178" t="s">
        <v>288</v>
      </c>
      <c r="M30" s="178">
        <f>COUNTIF(M8:M29,"○")</f>
        <v>1</v>
      </c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9"/>
      <c r="AW30" s="179"/>
      <c r="AX30" s="179"/>
      <c r="AY30" s="179"/>
    </row>
    <row r="31" spans="1:51" ht="18" customHeight="1">
      <c r="A31" s="704"/>
      <c r="B31" s="704"/>
      <c r="C31" s="183" t="s">
        <v>289</v>
      </c>
      <c r="D31" s="184"/>
      <c r="E31" s="184"/>
      <c r="F31" s="184"/>
      <c r="G31" s="184"/>
      <c r="H31" s="184"/>
      <c r="I31" s="184"/>
      <c r="J31" s="709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9"/>
      <c r="AW31" s="179"/>
      <c r="AX31" s="179"/>
      <c r="AY31" s="179"/>
    </row>
    <row r="32" spans="1:51" ht="18" customHeight="1">
      <c r="A32" s="704"/>
      <c r="B32" s="704"/>
      <c r="C32" s="183" t="s">
        <v>290</v>
      </c>
      <c r="D32" s="184"/>
      <c r="E32" s="184"/>
      <c r="F32" s="184"/>
      <c r="G32" s="184"/>
      <c r="H32" s="184"/>
      <c r="I32" s="184"/>
      <c r="J32" s="709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9"/>
      <c r="AW32" s="179"/>
      <c r="AX32" s="179"/>
      <c r="AY32" s="179"/>
    </row>
    <row r="33" spans="1:51" ht="18" customHeight="1">
      <c r="A33" s="704"/>
      <c r="B33" s="704"/>
      <c r="C33" s="183" t="s">
        <v>291</v>
      </c>
      <c r="D33" s="184"/>
      <c r="E33" s="184"/>
      <c r="F33" s="184"/>
      <c r="G33" s="184"/>
      <c r="H33" s="184"/>
      <c r="I33" s="184"/>
      <c r="J33" s="709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9"/>
      <c r="AW33" s="179"/>
      <c r="AX33" s="179"/>
      <c r="AY33" s="179"/>
    </row>
    <row r="34" spans="1:51" ht="18" customHeight="1">
      <c r="A34" s="704"/>
      <c r="B34" s="704"/>
      <c r="C34" s="183" t="s">
        <v>292</v>
      </c>
      <c r="D34" s="184"/>
      <c r="E34" s="184"/>
      <c r="F34" s="184"/>
      <c r="G34" s="184"/>
      <c r="H34" s="184"/>
      <c r="I34" s="184"/>
      <c r="J34" s="709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9"/>
      <c r="AW34" s="179"/>
      <c r="AX34" s="179"/>
      <c r="AY34" s="179"/>
    </row>
    <row r="35" spans="1:51" ht="18" customHeight="1">
      <c r="A35" s="704"/>
      <c r="B35" s="704"/>
      <c r="C35" s="183" t="s">
        <v>293</v>
      </c>
      <c r="D35" s="184"/>
      <c r="E35" s="184"/>
      <c r="F35" s="184"/>
      <c r="G35" s="184"/>
      <c r="H35" s="184"/>
      <c r="I35" s="184"/>
      <c r="J35" s="709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9"/>
      <c r="AW35" s="179"/>
      <c r="AX35" s="179"/>
      <c r="AY35" s="179"/>
    </row>
    <row r="36" spans="1:51" ht="18" customHeight="1">
      <c r="A36" s="704"/>
      <c r="B36" s="713"/>
      <c r="C36" s="186" t="s">
        <v>294</v>
      </c>
      <c r="D36" s="187"/>
      <c r="E36" s="187"/>
      <c r="F36" s="187"/>
      <c r="G36" s="187"/>
      <c r="H36" s="187"/>
      <c r="I36" s="187"/>
      <c r="J36" s="702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9"/>
      <c r="AW36" s="179"/>
      <c r="AX36" s="179"/>
      <c r="AY36" s="179"/>
    </row>
    <row r="37" spans="1:51" ht="18" customHeight="1">
      <c r="A37" s="704"/>
      <c r="B37" s="712">
        <v>18</v>
      </c>
      <c r="C37" s="188" t="s">
        <v>295</v>
      </c>
      <c r="D37" s="189"/>
      <c r="E37" s="189"/>
      <c r="F37" s="189"/>
      <c r="G37" s="189"/>
      <c r="H37" s="184"/>
      <c r="I37" s="184"/>
      <c r="J37" s="706" t="s">
        <v>69</v>
      </c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9"/>
      <c r="AW37" s="179"/>
      <c r="AX37" s="179"/>
      <c r="AY37" s="179"/>
    </row>
    <row r="38" spans="1:51" ht="18" customHeight="1">
      <c r="A38" s="704"/>
      <c r="B38" s="704"/>
      <c r="C38" s="183" t="s">
        <v>296</v>
      </c>
      <c r="D38" s="184"/>
      <c r="E38" s="184"/>
      <c r="F38" s="184"/>
      <c r="G38" s="184"/>
      <c r="H38" s="184"/>
      <c r="I38" s="184"/>
      <c r="J38" s="707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9"/>
      <c r="AW38" s="179"/>
      <c r="AX38" s="179"/>
      <c r="AY38" s="179"/>
    </row>
    <row r="39" spans="1:51" ht="18" customHeight="1">
      <c r="A39" s="704"/>
      <c r="B39" s="704"/>
      <c r="C39" s="183" t="s">
        <v>297</v>
      </c>
      <c r="D39" s="184"/>
      <c r="E39" s="184"/>
      <c r="F39" s="184"/>
      <c r="G39" s="184"/>
      <c r="H39" s="184"/>
      <c r="I39" s="184"/>
      <c r="J39" s="707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9"/>
      <c r="AW39" s="179"/>
      <c r="AX39" s="179"/>
      <c r="AY39" s="179"/>
    </row>
    <row r="40" spans="1:51" ht="18" customHeight="1">
      <c r="A40" s="704"/>
      <c r="B40" s="704"/>
      <c r="C40" s="183" t="s">
        <v>298</v>
      </c>
      <c r="D40" s="184"/>
      <c r="E40" s="184"/>
      <c r="F40" s="184"/>
      <c r="G40" s="184"/>
      <c r="H40" s="184"/>
      <c r="I40" s="184"/>
      <c r="J40" s="707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9"/>
      <c r="AW40" s="179"/>
      <c r="AX40" s="179"/>
      <c r="AY40" s="179"/>
    </row>
    <row r="41" spans="1:51" ht="18" customHeight="1">
      <c r="A41" s="704"/>
      <c r="B41" s="704"/>
      <c r="C41" s="183" t="s">
        <v>299</v>
      </c>
      <c r="D41" s="184"/>
      <c r="E41" s="184"/>
      <c r="F41" s="184"/>
      <c r="G41" s="184"/>
      <c r="H41" s="184"/>
      <c r="I41" s="184"/>
      <c r="J41" s="707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9"/>
      <c r="AW41" s="179"/>
      <c r="AX41" s="179"/>
      <c r="AY41" s="179"/>
    </row>
    <row r="42" spans="1:51" ht="18" customHeight="1">
      <c r="A42" s="704"/>
      <c r="B42" s="704"/>
      <c r="C42" s="183" t="s">
        <v>300</v>
      </c>
      <c r="D42" s="184"/>
      <c r="E42" s="184"/>
      <c r="F42" s="184"/>
      <c r="G42" s="184"/>
      <c r="H42" s="187"/>
      <c r="I42" s="187"/>
      <c r="J42" s="707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9"/>
      <c r="AW42" s="179"/>
      <c r="AX42" s="179"/>
      <c r="AY42" s="179"/>
    </row>
    <row r="43" spans="1:51" ht="18" customHeight="1">
      <c r="A43" s="712" t="s">
        <v>270</v>
      </c>
      <c r="B43" s="712">
        <v>16</v>
      </c>
      <c r="C43" s="188" t="s">
        <v>301</v>
      </c>
      <c r="D43" s="189"/>
      <c r="E43" s="189"/>
      <c r="F43" s="189"/>
      <c r="G43" s="189"/>
      <c r="H43" s="189"/>
      <c r="I43" s="189"/>
      <c r="J43" s="706" t="s">
        <v>69</v>
      </c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9"/>
      <c r="AW43" s="179"/>
      <c r="AX43" s="179"/>
      <c r="AY43" s="179"/>
    </row>
    <row r="44" spans="1:51" ht="18" customHeight="1">
      <c r="A44" s="704"/>
      <c r="B44" s="704"/>
      <c r="C44" s="183" t="s">
        <v>302</v>
      </c>
      <c r="D44" s="184"/>
      <c r="E44" s="184"/>
      <c r="F44" s="184"/>
      <c r="G44" s="184"/>
      <c r="H44" s="184"/>
      <c r="I44" s="184"/>
      <c r="J44" s="707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9"/>
      <c r="AW44" s="179"/>
      <c r="AX44" s="179"/>
      <c r="AY44" s="179"/>
    </row>
    <row r="45" spans="1:51" ht="18" customHeight="1">
      <c r="A45" s="704"/>
      <c r="B45" s="704"/>
      <c r="C45" s="183" t="s">
        <v>303</v>
      </c>
      <c r="D45" s="184"/>
      <c r="E45" s="184"/>
      <c r="F45" s="184"/>
      <c r="G45" s="184"/>
      <c r="H45" s="184"/>
      <c r="I45" s="184"/>
      <c r="J45" s="707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9"/>
      <c r="AW45" s="179"/>
      <c r="AX45" s="179"/>
      <c r="AY45" s="179"/>
    </row>
    <row r="46" spans="1:51" ht="18" customHeight="1">
      <c r="A46" s="704"/>
      <c r="B46" s="704"/>
      <c r="C46" s="183" t="s">
        <v>304</v>
      </c>
      <c r="D46" s="184"/>
      <c r="E46" s="184"/>
      <c r="F46" s="184"/>
      <c r="G46" s="184"/>
      <c r="H46" s="184"/>
      <c r="I46" s="184"/>
      <c r="J46" s="707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9"/>
      <c r="AW46" s="179"/>
      <c r="AX46" s="179"/>
      <c r="AY46" s="179"/>
    </row>
    <row r="47" spans="1:51" ht="18" customHeight="1">
      <c r="A47" s="704"/>
      <c r="B47" s="704"/>
      <c r="C47" s="183" t="s">
        <v>305</v>
      </c>
      <c r="D47" s="184"/>
      <c r="E47" s="184"/>
      <c r="F47" s="184"/>
      <c r="G47" s="184"/>
      <c r="H47" s="184"/>
      <c r="I47" s="184"/>
      <c r="J47" s="707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9"/>
      <c r="AW47" s="179"/>
      <c r="AX47" s="179"/>
      <c r="AY47" s="179"/>
    </row>
    <row r="48" spans="1:51" ht="18" customHeight="1">
      <c r="A48" s="704"/>
      <c r="B48" s="713"/>
      <c r="C48" s="186" t="s">
        <v>306</v>
      </c>
      <c r="D48" s="187"/>
      <c r="E48" s="187"/>
      <c r="F48" s="187"/>
      <c r="G48" s="187"/>
      <c r="H48" s="187"/>
      <c r="I48" s="187"/>
      <c r="J48" s="707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9"/>
      <c r="AW48" s="179"/>
      <c r="AX48" s="179"/>
      <c r="AY48" s="179"/>
    </row>
    <row r="49" spans="1:51" ht="18" customHeight="1">
      <c r="A49" s="704"/>
      <c r="B49" s="712">
        <v>18</v>
      </c>
      <c r="C49" s="188" t="s">
        <v>307</v>
      </c>
      <c r="D49" s="189"/>
      <c r="E49" s="189"/>
      <c r="F49" s="189"/>
      <c r="G49" s="189"/>
      <c r="H49" s="189"/>
      <c r="I49" s="189"/>
      <c r="J49" s="708" t="s">
        <v>69</v>
      </c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9"/>
      <c r="AW49" s="179"/>
      <c r="AX49" s="179"/>
      <c r="AY49" s="179"/>
    </row>
    <row r="50" spans="1:51" ht="18" customHeight="1">
      <c r="A50" s="704"/>
      <c r="B50" s="704"/>
      <c r="C50" s="183" t="s">
        <v>308</v>
      </c>
      <c r="D50" s="184"/>
      <c r="E50" s="184"/>
      <c r="F50" s="184"/>
      <c r="G50" s="184"/>
      <c r="H50" s="184"/>
      <c r="I50" s="184"/>
      <c r="J50" s="70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9"/>
      <c r="AW50" s="179"/>
      <c r="AX50" s="179"/>
      <c r="AY50" s="179"/>
    </row>
    <row r="51" spans="1:51" ht="18" customHeight="1">
      <c r="A51" s="713"/>
      <c r="B51" s="713"/>
      <c r="C51" s="186" t="s">
        <v>309</v>
      </c>
      <c r="D51" s="187"/>
      <c r="E51" s="187"/>
      <c r="F51" s="187"/>
      <c r="G51" s="187"/>
      <c r="H51" s="187"/>
      <c r="I51" s="187"/>
      <c r="J51" s="711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9"/>
      <c r="AW51" s="179"/>
      <c r="AX51" s="179"/>
      <c r="AY51" s="179"/>
    </row>
    <row r="52" spans="1:51" ht="18" customHeight="1">
      <c r="A52" s="712" t="s">
        <v>273</v>
      </c>
      <c r="B52" s="712">
        <v>16</v>
      </c>
      <c r="C52" s="188" t="s">
        <v>310</v>
      </c>
      <c r="D52" s="189"/>
      <c r="E52" s="189"/>
      <c r="F52" s="189"/>
      <c r="G52" s="189"/>
      <c r="H52" s="189"/>
      <c r="I52" s="189"/>
      <c r="J52" s="701" t="s">
        <v>69</v>
      </c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9"/>
      <c r="AW52" s="179"/>
      <c r="AX52" s="179"/>
      <c r="AY52" s="179"/>
    </row>
    <row r="53" spans="1:51" ht="18" customHeight="1">
      <c r="A53" s="704"/>
      <c r="B53" s="713"/>
      <c r="C53" s="186" t="s">
        <v>311</v>
      </c>
      <c r="D53" s="187"/>
      <c r="E53" s="187"/>
      <c r="F53" s="187"/>
      <c r="G53" s="187"/>
      <c r="H53" s="187"/>
      <c r="I53" s="187"/>
      <c r="J53" s="702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9"/>
      <c r="AW53" s="179"/>
      <c r="AX53" s="179"/>
      <c r="AY53" s="179"/>
    </row>
    <row r="54" spans="1:51" ht="18" customHeight="1">
      <c r="A54" s="713"/>
      <c r="B54" s="178">
        <v>18</v>
      </c>
      <c r="C54" s="200" t="s">
        <v>312</v>
      </c>
      <c r="D54" s="201"/>
      <c r="E54" s="187"/>
      <c r="F54" s="187"/>
      <c r="G54" s="187"/>
      <c r="H54" s="187"/>
      <c r="I54" s="187"/>
      <c r="J54" s="202" t="s">
        <v>69</v>
      </c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9"/>
      <c r="AW54" s="179"/>
      <c r="AX54" s="179"/>
      <c r="AY54" s="179"/>
    </row>
    <row r="55" spans="1:51" ht="18" customHeight="1">
      <c r="A55" s="712" t="s">
        <v>276</v>
      </c>
      <c r="B55" s="703">
        <v>16</v>
      </c>
      <c r="C55" s="189" t="s">
        <v>313</v>
      </c>
      <c r="D55" s="189"/>
      <c r="E55" s="189"/>
      <c r="F55" s="189"/>
      <c r="G55" s="189"/>
      <c r="H55" s="189"/>
      <c r="I55" s="189"/>
      <c r="J55" s="708" t="s">
        <v>69</v>
      </c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9"/>
      <c r="AW55" s="179"/>
      <c r="AX55" s="179"/>
      <c r="AY55" s="179"/>
    </row>
    <row r="56" spans="1:51" ht="18" customHeight="1">
      <c r="A56" s="704"/>
      <c r="B56" s="704"/>
      <c r="C56" s="184" t="s">
        <v>314</v>
      </c>
      <c r="D56" s="184"/>
      <c r="E56" s="184"/>
      <c r="F56" s="184"/>
      <c r="G56" s="184"/>
      <c r="H56" s="184"/>
      <c r="I56" s="184"/>
      <c r="J56" s="709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9"/>
      <c r="AW56" s="179"/>
      <c r="AX56" s="179"/>
      <c r="AY56" s="179"/>
    </row>
    <row r="57" spans="1:51" ht="18" customHeight="1">
      <c r="A57" s="704"/>
      <c r="B57" s="704"/>
      <c r="C57" s="184" t="s">
        <v>315</v>
      </c>
      <c r="D57" s="184"/>
      <c r="E57" s="184"/>
      <c r="F57" s="184"/>
      <c r="G57" s="184"/>
      <c r="H57" s="184"/>
      <c r="I57" s="184"/>
      <c r="J57" s="709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9"/>
      <c r="AW57" s="179"/>
      <c r="AX57" s="179"/>
      <c r="AY57" s="179"/>
    </row>
    <row r="58" spans="1:51" ht="18" customHeight="1">
      <c r="A58" s="704"/>
      <c r="B58" s="713"/>
      <c r="C58" s="184" t="s">
        <v>316</v>
      </c>
      <c r="D58" s="184"/>
      <c r="E58" s="184"/>
      <c r="F58" s="184"/>
      <c r="G58" s="184"/>
      <c r="H58" s="184"/>
      <c r="I58" s="184"/>
      <c r="J58" s="702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9"/>
      <c r="AW58" s="179"/>
      <c r="AX58" s="179"/>
      <c r="AY58" s="179"/>
    </row>
    <row r="59" spans="1:51" ht="18" customHeight="1">
      <c r="A59" s="704"/>
      <c r="B59" s="712">
        <v>18</v>
      </c>
      <c r="C59" s="188" t="s">
        <v>317</v>
      </c>
      <c r="D59" s="189"/>
      <c r="E59" s="189"/>
      <c r="F59" s="189"/>
      <c r="G59" s="189"/>
      <c r="H59" s="189"/>
      <c r="I59" s="189"/>
      <c r="J59" s="701" t="s">
        <v>69</v>
      </c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9"/>
      <c r="AW59" s="179"/>
      <c r="AX59" s="179"/>
      <c r="AY59" s="179"/>
    </row>
    <row r="60" spans="1:51" ht="18" customHeight="1">
      <c r="A60" s="704"/>
      <c r="B60" s="713"/>
      <c r="C60" s="186" t="s">
        <v>318</v>
      </c>
      <c r="D60" s="187"/>
      <c r="E60" s="187"/>
      <c r="F60" s="187"/>
      <c r="G60" s="187"/>
      <c r="H60" s="187"/>
      <c r="I60" s="187"/>
      <c r="J60" s="702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9"/>
      <c r="AW60" s="179"/>
      <c r="AX60" s="179"/>
      <c r="AY60" s="179"/>
    </row>
    <row r="61" spans="1:51" ht="18" customHeight="1">
      <c r="A61" s="713"/>
      <c r="B61" s="182">
        <v>20</v>
      </c>
      <c r="C61" s="186" t="s">
        <v>319</v>
      </c>
      <c r="D61" s="187"/>
      <c r="E61" s="187"/>
      <c r="F61" s="187"/>
      <c r="G61" s="187"/>
      <c r="H61" s="187"/>
      <c r="I61" s="187"/>
      <c r="J61" s="202" t="s">
        <v>69</v>
      </c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9"/>
      <c r="AW61" s="179"/>
      <c r="AX61" s="179"/>
      <c r="AY61" s="179"/>
    </row>
    <row r="62" spans="1:51" ht="18" customHeight="1">
      <c r="A62" s="712" t="s">
        <v>280</v>
      </c>
      <c r="B62" s="703">
        <v>16</v>
      </c>
      <c r="C62" s="188" t="s">
        <v>320</v>
      </c>
      <c r="D62" s="189"/>
      <c r="E62" s="189"/>
      <c r="F62" s="189"/>
      <c r="G62" s="189"/>
      <c r="H62" s="184"/>
      <c r="I62" s="184"/>
      <c r="J62" s="710" t="s">
        <v>236</v>
      </c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9"/>
      <c r="AW62" s="179"/>
      <c r="AX62" s="179"/>
      <c r="AY62" s="179"/>
    </row>
    <row r="63" spans="1:51" ht="18" customHeight="1">
      <c r="A63" s="704"/>
      <c r="B63" s="704"/>
      <c r="C63" s="183" t="s">
        <v>321</v>
      </c>
      <c r="D63" s="184"/>
      <c r="E63" s="184"/>
      <c r="F63" s="184"/>
      <c r="G63" s="184"/>
      <c r="H63" s="184"/>
      <c r="I63" s="184"/>
      <c r="J63" s="70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9"/>
      <c r="AW63" s="179"/>
      <c r="AX63" s="179"/>
      <c r="AY63" s="179"/>
    </row>
    <row r="64" spans="1:51" ht="18" customHeight="1">
      <c r="A64" s="704"/>
      <c r="B64" s="704"/>
      <c r="C64" s="183" t="s">
        <v>322</v>
      </c>
      <c r="D64" s="184"/>
      <c r="E64" s="184"/>
      <c r="F64" s="184"/>
      <c r="G64" s="184"/>
      <c r="H64" s="184"/>
      <c r="I64" s="184"/>
      <c r="J64" s="70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9"/>
      <c r="AW64" s="179"/>
      <c r="AX64" s="179"/>
      <c r="AY64" s="179"/>
    </row>
    <row r="65" spans="1:51" ht="18" customHeight="1">
      <c r="A65" s="704"/>
      <c r="B65" s="704"/>
      <c r="C65" s="183" t="s">
        <v>323</v>
      </c>
      <c r="D65" s="184"/>
      <c r="E65" s="184"/>
      <c r="F65" s="184"/>
      <c r="G65" s="184"/>
      <c r="H65" s="184"/>
      <c r="I65" s="184"/>
      <c r="J65" s="70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9"/>
      <c r="AW65" s="179"/>
      <c r="AX65" s="179"/>
      <c r="AY65" s="179"/>
    </row>
    <row r="66" spans="1:51" ht="18" customHeight="1">
      <c r="A66" s="704"/>
      <c r="B66" s="704"/>
      <c r="C66" s="183" t="s">
        <v>324</v>
      </c>
      <c r="D66" s="184"/>
      <c r="E66" s="184"/>
      <c r="F66" s="184"/>
      <c r="G66" s="184"/>
      <c r="H66" s="184"/>
      <c r="I66" s="184"/>
      <c r="J66" s="711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9"/>
      <c r="AW66" s="179"/>
      <c r="AX66" s="179"/>
      <c r="AY66" s="179"/>
    </row>
    <row r="67" spans="1:51" ht="18" customHeight="1">
      <c r="A67" s="704"/>
      <c r="B67" s="712">
        <v>18</v>
      </c>
      <c r="C67" s="188" t="s">
        <v>325</v>
      </c>
      <c r="D67" s="189"/>
      <c r="E67" s="189"/>
      <c r="F67" s="189"/>
      <c r="G67" s="189"/>
      <c r="H67" s="189"/>
      <c r="I67" s="189"/>
      <c r="J67" s="701" t="s">
        <v>69</v>
      </c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9"/>
      <c r="AW67" s="179"/>
      <c r="AX67" s="179"/>
      <c r="AY67" s="179"/>
    </row>
    <row r="68" spans="1:51" ht="18" customHeight="1">
      <c r="A68" s="713"/>
      <c r="B68" s="713"/>
      <c r="C68" s="186" t="s">
        <v>326</v>
      </c>
      <c r="D68" s="187"/>
      <c r="E68" s="187"/>
      <c r="F68" s="187"/>
      <c r="G68" s="187"/>
      <c r="H68" s="187"/>
      <c r="I68" s="187"/>
      <c r="J68" s="702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9"/>
      <c r="AW68" s="179"/>
      <c r="AX68" s="179"/>
      <c r="AY68" s="179"/>
    </row>
    <row r="69" spans="1:51" ht="18" customHeight="1">
      <c r="A69" s="197" t="s">
        <v>283</v>
      </c>
      <c r="B69" s="182">
        <v>18</v>
      </c>
      <c r="C69" s="200" t="s">
        <v>327</v>
      </c>
      <c r="D69" s="201"/>
      <c r="E69" s="187"/>
      <c r="F69" s="187"/>
      <c r="G69" s="187"/>
      <c r="H69" s="187"/>
      <c r="I69" s="187"/>
      <c r="J69" s="202" t="s">
        <v>69</v>
      </c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9"/>
      <c r="AW69" s="179"/>
      <c r="AX69" s="179"/>
      <c r="AY69" s="179"/>
    </row>
    <row r="70" spans="1:51" ht="18" customHeight="1">
      <c r="A70" s="203" t="s">
        <v>285</v>
      </c>
      <c r="B70" s="204">
        <v>14</v>
      </c>
      <c r="C70" s="205" t="s">
        <v>328</v>
      </c>
      <c r="D70" s="206"/>
      <c r="E70" s="207"/>
      <c r="F70" s="207"/>
      <c r="G70" s="207"/>
      <c r="H70" s="207"/>
      <c r="I70" s="207"/>
      <c r="J70" s="208" t="s">
        <v>69</v>
      </c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9"/>
      <c r="AW70" s="179"/>
      <c r="AX70" s="179"/>
      <c r="AY70" s="179"/>
    </row>
    <row r="71" spans="1:10" ht="18" customHeight="1">
      <c r="A71" s="209"/>
      <c r="B71" s="209"/>
      <c r="C71" s="209"/>
      <c r="D71" s="209"/>
      <c r="E71" s="209"/>
      <c r="F71" s="209"/>
      <c r="G71" s="209"/>
      <c r="H71" s="209"/>
      <c r="I71" s="209"/>
      <c r="J71" s="209"/>
    </row>
    <row r="72" spans="1:10" ht="18" customHeight="1">
      <c r="A72" s="209"/>
      <c r="B72" s="209"/>
      <c r="C72" s="209"/>
      <c r="D72" s="209"/>
      <c r="E72" s="209"/>
      <c r="F72" s="209"/>
      <c r="G72" s="209"/>
      <c r="H72" s="209"/>
      <c r="I72" s="209"/>
      <c r="J72" s="209"/>
    </row>
    <row r="73" spans="1:10" ht="18" customHeight="1">
      <c r="A73" s="209"/>
      <c r="B73" s="209"/>
      <c r="C73" s="209"/>
      <c r="D73" s="209"/>
      <c r="E73" s="209"/>
      <c r="F73" s="209"/>
      <c r="G73" s="209"/>
      <c r="H73" s="209"/>
      <c r="I73" s="209"/>
      <c r="J73" s="209"/>
    </row>
    <row r="74" spans="1:10" ht="18" customHeight="1">
      <c r="A74" s="209"/>
      <c r="B74" s="209"/>
      <c r="C74" s="209"/>
      <c r="D74" s="209"/>
      <c r="E74" s="209"/>
      <c r="F74" s="209"/>
      <c r="G74" s="209"/>
      <c r="H74" s="209"/>
      <c r="I74" s="209"/>
      <c r="J74" s="209"/>
    </row>
    <row r="75" spans="1:10" ht="18" customHeight="1">
      <c r="A75" s="209"/>
      <c r="B75" s="209"/>
      <c r="C75" s="209"/>
      <c r="D75" s="209"/>
      <c r="E75" s="209"/>
      <c r="F75" s="209"/>
      <c r="G75" s="209"/>
      <c r="H75" s="209"/>
      <c r="I75" s="209"/>
      <c r="J75" s="209"/>
    </row>
    <row r="76" spans="1:10" ht="18" customHeight="1">
      <c r="A76" s="209"/>
      <c r="B76" s="209"/>
      <c r="C76" s="209"/>
      <c r="D76" s="209"/>
      <c r="E76" s="209"/>
      <c r="F76" s="209"/>
      <c r="G76" s="209"/>
      <c r="H76" s="209"/>
      <c r="I76" s="209"/>
      <c r="J76" s="209"/>
    </row>
    <row r="77" spans="1:10" ht="18" customHeight="1">
      <c r="A77" s="209"/>
      <c r="B77" s="209"/>
      <c r="C77" s="209"/>
      <c r="D77" s="209"/>
      <c r="E77" s="209"/>
      <c r="F77" s="209"/>
      <c r="G77" s="209"/>
      <c r="H77" s="209"/>
      <c r="I77" s="209"/>
      <c r="J77" s="209"/>
    </row>
    <row r="78" spans="1:10" ht="18" customHeight="1">
      <c r="A78" s="209"/>
      <c r="B78" s="209"/>
      <c r="C78" s="209"/>
      <c r="D78" s="209"/>
      <c r="E78" s="209"/>
      <c r="F78" s="209"/>
      <c r="G78" s="209"/>
      <c r="H78" s="209"/>
      <c r="I78" s="209"/>
      <c r="J78" s="209"/>
    </row>
    <row r="79" spans="1:10" ht="18" customHeight="1">
      <c r="A79" s="209"/>
      <c r="B79" s="209"/>
      <c r="C79" s="209"/>
      <c r="D79" s="209"/>
      <c r="E79" s="209"/>
      <c r="F79" s="209"/>
      <c r="G79" s="209"/>
      <c r="H79" s="209"/>
      <c r="I79" s="209"/>
      <c r="J79" s="209"/>
    </row>
    <row r="80" spans="1:10" ht="18" customHeight="1">
      <c r="A80" s="209"/>
      <c r="B80" s="209"/>
      <c r="C80" s="209"/>
      <c r="D80" s="209"/>
      <c r="E80" s="209"/>
      <c r="F80" s="209"/>
      <c r="G80" s="209"/>
      <c r="H80" s="209"/>
      <c r="I80" s="209"/>
      <c r="J80" s="209"/>
    </row>
    <row r="81" spans="1:10" ht="18" customHeight="1">
      <c r="A81" s="209"/>
      <c r="B81" s="209"/>
      <c r="C81" s="209"/>
      <c r="D81" s="209"/>
      <c r="E81" s="209"/>
      <c r="F81" s="209"/>
      <c r="G81" s="209"/>
      <c r="H81" s="209"/>
      <c r="I81" s="209"/>
      <c r="J81" s="209"/>
    </row>
    <row r="82" spans="1:10" ht="18" customHeight="1">
      <c r="A82" s="209"/>
      <c r="B82" s="209"/>
      <c r="C82" s="209"/>
      <c r="D82" s="209"/>
      <c r="E82" s="209"/>
      <c r="F82" s="209"/>
      <c r="G82" s="209"/>
      <c r="H82" s="209"/>
      <c r="I82" s="209"/>
      <c r="J82" s="209"/>
    </row>
    <row r="83" spans="1:10" ht="18" customHeight="1">
      <c r="A83" s="209"/>
      <c r="B83" s="209"/>
      <c r="C83" s="209"/>
      <c r="D83" s="209"/>
      <c r="E83" s="209"/>
      <c r="F83" s="209"/>
      <c r="G83" s="209"/>
      <c r="H83" s="209"/>
      <c r="I83" s="209"/>
      <c r="J83" s="209"/>
    </row>
    <row r="84" spans="1:10" ht="18" customHeight="1">
      <c r="A84" s="209"/>
      <c r="B84" s="209"/>
      <c r="C84" s="209"/>
      <c r="D84" s="209"/>
      <c r="E84" s="209"/>
      <c r="F84" s="209"/>
      <c r="G84" s="209"/>
      <c r="H84" s="209"/>
      <c r="I84" s="209"/>
      <c r="J84" s="209"/>
    </row>
    <row r="85" spans="1:10" ht="18" customHeight="1">
      <c r="A85" s="209"/>
      <c r="B85" s="209"/>
      <c r="C85" s="209"/>
      <c r="D85" s="209"/>
      <c r="E85" s="209"/>
      <c r="F85" s="209"/>
      <c r="G85" s="209"/>
      <c r="H85" s="209"/>
      <c r="I85" s="209"/>
      <c r="J85" s="209"/>
    </row>
    <row r="86" spans="1:10" ht="18" customHeight="1">
      <c r="A86" s="209"/>
      <c r="B86" s="209"/>
      <c r="C86" s="209"/>
      <c r="D86" s="209"/>
      <c r="E86" s="209"/>
      <c r="F86" s="209"/>
      <c r="G86" s="209"/>
      <c r="H86" s="209"/>
      <c r="I86" s="209"/>
      <c r="J86" s="209"/>
    </row>
    <row r="87" spans="1:10" ht="18" customHeight="1">
      <c r="A87" s="209"/>
      <c r="B87" s="209"/>
      <c r="C87" s="209"/>
      <c r="D87" s="209"/>
      <c r="E87" s="209"/>
      <c r="F87" s="209"/>
      <c r="G87" s="209"/>
      <c r="H87" s="209"/>
      <c r="I87" s="209"/>
      <c r="J87" s="209"/>
    </row>
    <row r="88" spans="1:10" ht="18" customHeight="1">
      <c r="A88" s="209"/>
      <c r="B88" s="209"/>
      <c r="C88" s="209"/>
      <c r="D88" s="209"/>
      <c r="E88" s="209"/>
      <c r="F88" s="209"/>
      <c r="G88" s="209"/>
      <c r="H88" s="209"/>
      <c r="I88" s="209"/>
      <c r="J88" s="209"/>
    </row>
    <row r="89" spans="1:10" ht="18" customHeight="1">
      <c r="A89" s="209"/>
      <c r="B89" s="209"/>
      <c r="C89" s="209"/>
      <c r="D89" s="209"/>
      <c r="E89" s="209"/>
      <c r="F89" s="209"/>
      <c r="G89" s="209"/>
      <c r="H89" s="209"/>
      <c r="I89" s="209"/>
      <c r="J89" s="209"/>
    </row>
    <row r="90" spans="1:10" ht="18" customHeight="1">
      <c r="A90" s="209"/>
      <c r="B90" s="209"/>
      <c r="C90" s="209"/>
      <c r="D90" s="209"/>
      <c r="E90" s="209"/>
      <c r="F90" s="209"/>
      <c r="G90" s="209"/>
      <c r="H90" s="209"/>
      <c r="I90" s="209"/>
      <c r="J90" s="209"/>
    </row>
    <row r="91" spans="1:10" ht="18" customHeight="1">
      <c r="A91" s="209"/>
      <c r="B91" s="209"/>
      <c r="C91" s="209"/>
      <c r="D91" s="209"/>
      <c r="E91" s="209"/>
      <c r="F91" s="209"/>
      <c r="G91" s="209"/>
      <c r="H91" s="209"/>
      <c r="I91" s="209"/>
      <c r="J91" s="209"/>
    </row>
    <row r="92" spans="1:10" ht="18" customHeight="1">
      <c r="A92" s="209"/>
      <c r="B92" s="209"/>
      <c r="C92" s="209"/>
      <c r="D92" s="209"/>
      <c r="E92" s="209"/>
      <c r="F92" s="209"/>
      <c r="G92" s="209"/>
      <c r="H92" s="209"/>
      <c r="I92" s="209"/>
      <c r="J92" s="209"/>
    </row>
    <row r="93" spans="1:10" ht="18" customHeight="1">
      <c r="A93" s="209"/>
      <c r="B93" s="209"/>
      <c r="C93" s="209"/>
      <c r="D93" s="209"/>
      <c r="E93" s="209"/>
      <c r="F93" s="209"/>
      <c r="G93" s="209"/>
      <c r="H93" s="209"/>
      <c r="I93" s="209"/>
      <c r="J93" s="209"/>
    </row>
    <row r="94" spans="1:10" ht="18" customHeight="1">
      <c r="A94" s="209"/>
      <c r="B94" s="209"/>
      <c r="C94" s="209"/>
      <c r="D94" s="209"/>
      <c r="E94" s="209"/>
      <c r="F94" s="209"/>
      <c r="G94" s="209"/>
      <c r="H94" s="209"/>
      <c r="I94" s="209"/>
      <c r="J94" s="209"/>
    </row>
    <row r="95" spans="1:10" ht="18" customHeight="1">
      <c r="A95" s="209"/>
      <c r="B95" s="209"/>
      <c r="C95" s="209"/>
      <c r="D95" s="209"/>
      <c r="E95" s="209"/>
      <c r="F95" s="209"/>
      <c r="G95" s="209"/>
      <c r="H95" s="209"/>
      <c r="I95" s="209"/>
      <c r="J95" s="209"/>
    </row>
    <row r="96" spans="1:10" ht="18" customHeight="1">
      <c r="A96" s="209"/>
      <c r="B96" s="209"/>
      <c r="C96" s="209"/>
      <c r="D96" s="209"/>
      <c r="E96" s="209"/>
      <c r="F96" s="209"/>
      <c r="G96" s="209"/>
      <c r="H96" s="209"/>
      <c r="I96" s="209"/>
      <c r="J96" s="209"/>
    </row>
    <row r="97" spans="1:10" ht="18" customHeight="1">
      <c r="A97" s="209"/>
      <c r="B97" s="209"/>
      <c r="C97" s="209"/>
      <c r="D97" s="209"/>
      <c r="E97" s="209"/>
      <c r="F97" s="209"/>
      <c r="G97" s="209"/>
      <c r="H97" s="209"/>
      <c r="I97" s="209"/>
      <c r="J97" s="209"/>
    </row>
    <row r="98" spans="1:10" ht="18" customHeight="1">
      <c r="A98" s="209"/>
      <c r="B98" s="209"/>
      <c r="C98" s="209"/>
      <c r="D98" s="209"/>
      <c r="E98" s="209"/>
      <c r="F98" s="209"/>
      <c r="G98" s="209"/>
      <c r="H98" s="209"/>
      <c r="I98" s="209"/>
      <c r="J98" s="209"/>
    </row>
    <row r="99" spans="1:10" ht="18" customHeight="1">
      <c r="A99" s="209"/>
      <c r="B99" s="209"/>
      <c r="C99" s="209"/>
      <c r="D99" s="209"/>
      <c r="E99" s="209"/>
      <c r="F99" s="209"/>
      <c r="G99" s="209"/>
      <c r="H99" s="209"/>
      <c r="I99" s="209"/>
      <c r="J99" s="209"/>
    </row>
    <row r="100" spans="1:10" ht="18" customHeight="1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</row>
    <row r="101" spans="1:10" ht="18" customHeight="1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</row>
    <row r="102" spans="1:10" ht="18" customHeight="1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0" ht="18" customHeight="1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</row>
    <row r="104" spans="1:10" ht="18" customHeight="1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</row>
    <row r="105" spans="1:10" ht="18" customHeight="1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</row>
    <row r="106" spans="1:10" ht="18" customHeight="1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</row>
    <row r="107" spans="1:10" ht="18" customHeight="1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</row>
    <row r="108" spans="1:10" ht="18" customHeight="1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0" ht="18" customHeight="1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</row>
    <row r="110" spans="1:10" ht="18" customHeight="1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</row>
    <row r="111" spans="1:10" ht="18" customHeight="1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</row>
    <row r="112" spans="1:10" ht="18" customHeight="1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</row>
    <row r="113" spans="1:10" ht="18" customHeight="1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</row>
    <row r="114" spans="1:10" ht="18" customHeight="1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</row>
    <row r="115" spans="1:10" ht="18" customHeight="1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</row>
    <row r="116" spans="1:10" ht="18" customHeight="1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</row>
    <row r="117" spans="1:10" ht="18" customHeight="1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</row>
    <row r="118" spans="1:10" ht="18" customHeight="1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</row>
    <row r="119" spans="1:10" ht="18" customHeight="1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</row>
    <row r="120" spans="1:10" ht="18" customHeight="1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</row>
    <row r="121" spans="1:10" ht="18" customHeight="1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</row>
    <row r="122" spans="1:10" ht="18" customHeight="1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</row>
    <row r="123" spans="1:10" ht="18" customHeight="1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</row>
    <row r="124" spans="1:10" ht="18" customHeight="1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0" ht="18" customHeight="1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</row>
    <row r="126" spans="1:10" ht="18" customHeight="1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</row>
  </sheetData>
  <sheetProtection sheet="1" objects="1" scenarios="1"/>
  <mergeCells count="52">
    <mergeCell ref="A2:A3"/>
    <mergeCell ref="C2:I3"/>
    <mergeCell ref="J25:J27"/>
    <mergeCell ref="J28:J29"/>
    <mergeCell ref="A4:A11"/>
    <mergeCell ref="B4:B6"/>
    <mergeCell ref="B7:B9"/>
    <mergeCell ref="B10:B11"/>
    <mergeCell ref="A12:A16"/>
    <mergeCell ref="B13:B15"/>
    <mergeCell ref="A17:A29"/>
    <mergeCell ref="B17:B24"/>
    <mergeCell ref="B25:B27"/>
    <mergeCell ref="B28:B29"/>
    <mergeCell ref="A30:A42"/>
    <mergeCell ref="B30:B36"/>
    <mergeCell ref="B37:B42"/>
    <mergeCell ref="J2:J3"/>
    <mergeCell ref="B2:B3"/>
    <mergeCell ref="J4:J6"/>
    <mergeCell ref="J7:J9"/>
    <mergeCell ref="J10:J11"/>
    <mergeCell ref="J13:J15"/>
    <mergeCell ref="J17:J24"/>
    <mergeCell ref="B43:B48"/>
    <mergeCell ref="B49:B51"/>
    <mergeCell ref="A52:A54"/>
    <mergeCell ref="B52:B53"/>
    <mergeCell ref="J62:J66"/>
    <mergeCell ref="J30:J36"/>
    <mergeCell ref="J49:J51"/>
    <mergeCell ref="A55:A61"/>
    <mergeCell ref="B55:B58"/>
    <mergeCell ref="B59:B60"/>
    <mergeCell ref="A62:A68"/>
    <mergeCell ref="B62:B66"/>
    <mergeCell ref="B67:B68"/>
    <mergeCell ref="A43:A51"/>
    <mergeCell ref="J52:J53"/>
    <mergeCell ref="J55:J58"/>
    <mergeCell ref="J59:J60"/>
    <mergeCell ref="L26:L27"/>
    <mergeCell ref="J67:J68"/>
    <mergeCell ref="L8:L10"/>
    <mergeCell ref="L11:L13"/>
    <mergeCell ref="L14:L16"/>
    <mergeCell ref="L17:L18"/>
    <mergeCell ref="L19:L20"/>
    <mergeCell ref="J37:J42"/>
    <mergeCell ref="J43:J48"/>
    <mergeCell ref="L21:L22"/>
    <mergeCell ref="L23:L25"/>
  </mergeCells>
  <dataValidations count="1">
    <dataValidation type="list" allowBlank="1" showInputMessage="1" showErrorMessage="1" sqref="J4:J37 J49:J70 J43">
      <formula1>$L$2:$L$3</formula1>
    </dataValidation>
  </dataValidations>
  <printOptions/>
  <pageMargins left="0.98" right="0.2" top="0.79" bottom="0.59" header="0.39" footer="0"/>
  <pageSetup firstPageNumber="2" useFirstPageNumber="1" horizontalDpi="300" verticalDpi="300" orientation="portrait" paperSize="9" scale="99" r:id="rId1"/>
  <headerFooter alignWithMargins="0">
    <oddHeader>&amp;R&amp;"ＭＳ ゴシック,標準"Ｐ.7-8-&amp;P</oddHead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41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8" width="3.3984375" style="2" customWidth="1"/>
    <col min="29" max="32" width="7.59765625" style="2" customWidth="1"/>
    <col min="33" max="33" width="3.09765625" style="2" customWidth="1"/>
    <col min="34" max="40" width="15.59765625" style="2" customWidth="1"/>
    <col min="41" max="41" width="5.69921875" style="2" customWidth="1"/>
    <col min="42" max="42" width="5.19921875" style="2" customWidth="1"/>
    <col min="43" max="16384" width="4.69921875" style="2" customWidth="1"/>
  </cols>
  <sheetData>
    <row r="1" ht="22.5" customHeight="1">
      <c r="B1" s="488" t="s">
        <v>723</v>
      </c>
    </row>
    <row r="2" spans="2:47" ht="18" customHeight="1">
      <c r="B2" s="486" t="s">
        <v>717</v>
      </c>
      <c r="C2" s="15"/>
      <c r="D2" s="38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14"/>
      <c r="AS2" s="14"/>
      <c r="AT2" s="14"/>
      <c r="AU2" s="14"/>
    </row>
    <row r="3" spans="1:47" ht="18" customHeight="1">
      <c r="A3" s="210"/>
      <c r="B3" s="210"/>
      <c r="C3" s="210"/>
      <c r="D3" s="210"/>
      <c r="E3" s="211"/>
      <c r="F3" s="210"/>
      <c r="G3" s="210"/>
      <c r="H3" s="210"/>
      <c r="I3" s="210"/>
      <c r="J3" s="210"/>
      <c r="K3" s="210"/>
      <c r="L3" s="212"/>
      <c r="M3" s="213"/>
      <c r="N3" s="210"/>
      <c r="O3" s="210"/>
      <c r="P3" s="210"/>
      <c r="Q3" s="210"/>
      <c r="R3" s="210" t="s">
        <v>329</v>
      </c>
      <c r="S3" s="210"/>
      <c r="T3" s="210"/>
      <c r="U3" s="210"/>
      <c r="V3" s="210"/>
      <c r="W3" s="770">
        <f>'足場板'!$M$55</f>
        <v>900</v>
      </c>
      <c r="X3" s="770"/>
      <c r="Y3" s="210"/>
      <c r="Z3" s="210"/>
      <c r="AA3" s="210"/>
      <c r="AB3" s="15"/>
      <c r="AC3" s="15"/>
      <c r="AD3" s="15"/>
      <c r="AE3" s="15"/>
      <c r="AF3" s="15"/>
      <c r="AG3" s="15"/>
      <c r="AH3" s="38"/>
      <c r="AI3" s="39"/>
      <c r="AJ3" s="211"/>
      <c r="AK3" s="211"/>
      <c r="AL3" s="211"/>
      <c r="AM3" s="211"/>
      <c r="AN3" s="211"/>
      <c r="AO3" s="38"/>
      <c r="AP3" s="38"/>
      <c r="AQ3" s="38"/>
      <c r="AR3" s="14"/>
      <c r="AS3" s="14"/>
      <c r="AT3" s="14"/>
      <c r="AU3" s="14"/>
    </row>
    <row r="4" spans="1:47" ht="18" customHeight="1">
      <c r="A4" s="210"/>
      <c r="B4" s="210"/>
      <c r="C4" s="210"/>
      <c r="D4" s="210"/>
      <c r="E4" s="211"/>
      <c r="F4" s="210"/>
      <c r="G4" s="210"/>
      <c r="H4" s="210"/>
      <c r="I4" s="210"/>
      <c r="J4" s="210"/>
      <c r="K4" s="210"/>
      <c r="L4" s="210"/>
      <c r="M4" s="213"/>
      <c r="N4" s="210"/>
      <c r="O4" s="210"/>
      <c r="P4" s="210"/>
      <c r="Q4" s="211"/>
      <c r="R4" s="210" t="s">
        <v>672</v>
      </c>
      <c r="S4" s="210"/>
      <c r="T4" s="210"/>
      <c r="U4" s="210"/>
      <c r="V4" s="210"/>
      <c r="W4" s="740">
        <v>2500</v>
      </c>
      <c r="X4" s="740"/>
      <c r="Y4" s="210"/>
      <c r="Z4" s="210"/>
      <c r="AA4" s="210"/>
      <c r="AB4" s="15"/>
      <c r="AC4" s="15"/>
      <c r="AD4" s="15"/>
      <c r="AE4" s="15"/>
      <c r="AF4" s="15"/>
      <c r="AG4" s="15"/>
      <c r="AH4" s="38" t="s">
        <v>330</v>
      </c>
      <c r="AI4" s="211"/>
      <c r="AJ4" s="211"/>
      <c r="AK4" s="211"/>
      <c r="AL4" s="211"/>
      <c r="AM4" s="211"/>
      <c r="AN4" s="211"/>
      <c r="AO4" s="38"/>
      <c r="AP4" s="38"/>
      <c r="AQ4" s="38"/>
      <c r="AR4" s="14"/>
      <c r="AS4" s="14"/>
      <c r="AT4" s="14"/>
      <c r="AU4" s="14"/>
    </row>
    <row r="5" spans="1:47" ht="18" customHeight="1">
      <c r="A5" s="210"/>
      <c r="B5" s="210"/>
      <c r="C5" s="210"/>
      <c r="D5" s="210"/>
      <c r="E5" s="211"/>
      <c r="F5" s="210"/>
      <c r="G5" s="210"/>
      <c r="H5" s="211"/>
      <c r="I5" s="210"/>
      <c r="M5" s="213"/>
      <c r="N5" s="210"/>
      <c r="O5" s="210"/>
      <c r="P5" s="210"/>
      <c r="Q5" s="210"/>
      <c r="R5" s="210" t="s">
        <v>547</v>
      </c>
      <c r="S5" s="210"/>
      <c r="T5" s="210"/>
      <c r="U5" s="210"/>
      <c r="V5" s="210"/>
      <c r="W5" s="740">
        <v>3500</v>
      </c>
      <c r="X5" s="740"/>
      <c r="Y5" s="210"/>
      <c r="Z5" s="210"/>
      <c r="AA5" s="210"/>
      <c r="AB5" s="15"/>
      <c r="AC5" s="785" t="s">
        <v>331</v>
      </c>
      <c r="AD5" s="786"/>
      <c r="AE5" s="785" t="s">
        <v>332</v>
      </c>
      <c r="AF5" s="786"/>
      <c r="AG5" s="15"/>
      <c r="AH5" s="793" t="s">
        <v>333</v>
      </c>
      <c r="AI5" s="215" t="s">
        <v>332</v>
      </c>
      <c r="AJ5" s="215"/>
      <c r="AK5" s="215"/>
      <c r="AL5" s="215"/>
      <c r="AM5" s="215"/>
      <c r="AN5" s="795" t="s">
        <v>334</v>
      </c>
      <c r="AO5" s="38"/>
      <c r="AP5" s="38"/>
      <c r="AQ5" s="38"/>
      <c r="AR5" s="14"/>
      <c r="AS5" s="14"/>
      <c r="AT5" s="14"/>
      <c r="AU5" s="14"/>
    </row>
    <row r="6" spans="1:47" ht="18" customHeight="1">
      <c r="A6" s="210"/>
      <c r="B6" s="210"/>
      <c r="C6" s="210"/>
      <c r="D6" s="210"/>
      <c r="E6" s="210"/>
      <c r="F6" s="212"/>
      <c r="G6" s="210"/>
      <c r="H6" s="211"/>
      <c r="I6" s="210"/>
      <c r="J6" s="747">
        <v>800</v>
      </c>
      <c r="K6" s="747"/>
      <c r="L6" s="747"/>
      <c r="M6" s="210"/>
      <c r="N6" s="210"/>
      <c r="O6" s="210"/>
      <c r="P6" s="212"/>
      <c r="Q6" s="218"/>
      <c r="R6" s="210" t="s">
        <v>3</v>
      </c>
      <c r="S6" s="217"/>
      <c r="T6" s="210"/>
      <c r="U6" s="210"/>
      <c r="V6" s="210"/>
      <c r="W6" s="740">
        <v>1000</v>
      </c>
      <c r="X6" s="740"/>
      <c r="Y6" s="210"/>
      <c r="Z6" s="210"/>
      <c r="AA6" s="210"/>
      <c r="AB6" s="15"/>
      <c r="AC6" s="787"/>
      <c r="AD6" s="788"/>
      <c r="AE6" s="787"/>
      <c r="AF6" s="788"/>
      <c r="AG6" s="15"/>
      <c r="AH6" s="794"/>
      <c r="AI6" s="219" t="s">
        <v>335</v>
      </c>
      <c r="AJ6" s="219" t="s">
        <v>336</v>
      </c>
      <c r="AK6" s="219" t="s">
        <v>337</v>
      </c>
      <c r="AL6" s="219" t="s">
        <v>338</v>
      </c>
      <c r="AM6" s="219" t="s">
        <v>339</v>
      </c>
      <c r="AN6" s="796"/>
      <c r="AO6" s="38"/>
      <c r="AP6" s="38"/>
      <c r="AQ6" s="38"/>
      <c r="AR6" s="14"/>
      <c r="AS6" s="14"/>
      <c r="AT6" s="14"/>
      <c r="AU6" s="14"/>
    </row>
    <row r="7" spans="1:47" ht="18" customHeight="1">
      <c r="A7" s="210"/>
      <c r="B7" s="210"/>
      <c r="C7" s="247"/>
      <c r="D7" s="438"/>
      <c r="E7" s="247"/>
      <c r="F7" s="437" t="s">
        <v>671</v>
      </c>
      <c r="G7" s="479"/>
      <c r="H7" s="479"/>
      <c r="I7" s="220"/>
      <c r="J7" s="210"/>
      <c r="K7" s="210"/>
      <c r="L7" s="210"/>
      <c r="M7" s="210"/>
      <c r="N7" s="221"/>
      <c r="O7" s="210"/>
      <c r="P7" s="214"/>
      <c r="Q7" s="210"/>
      <c r="R7" s="210" t="s">
        <v>697</v>
      </c>
      <c r="S7" s="210"/>
      <c r="T7" s="210"/>
      <c r="U7" s="210"/>
      <c r="V7" s="210"/>
      <c r="W7" s="748">
        <v>4</v>
      </c>
      <c r="X7" s="748"/>
      <c r="Y7" s="210"/>
      <c r="Z7" s="210"/>
      <c r="AA7" s="210"/>
      <c r="AB7" s="15"/>
      <c r="AC7" s="563" t="s">
        <v>340</v>
      </c>
      <c r="AD7" s="789"/>
      <c r="AE7" s="563" t="s">
        <v>341</v>
      </c>
      <c r="AF7" s="789"/>
      <c r="AG7" s="15"/>
      <c r="AH7" s="223" t="s">
        <v>342</v>
      </c>
      <c r="AI7" s="224">
        <v>1.65</v>
      </c>
      <c r="AJ7" s="224">
        <v>1.5</v>
      </c>
      <c r="AK7" s="224">
        <v>1.35</v>
      </c>
      <c r="AL7" s="224">
        <v>1.19</v>
      </c>
      <c r="AM7" s="224">
        <v>1.07</v>
      </c>
      <c r="AN7" s="225">
        <v>1</v>
      </c>
      <c r="AO7" s="38"/>
      <c r="AP7" s="38"/>
      <c r="AQ7" s="38"/>
      <c r="AR7" s="14"/>
      <c r="AS7" s="14"/>
      <c r="AT7" s="14"/>
      <c r="AU7" s="14"/>
    </row>
    <row r="8" spans="1:47" ht="18" customHeight="1">
      <c r="A8" s="210"/>
      <c r="B8" s="210"/>
      <c r="C8" s="247"/>
      <c r="D8" s="438"/>
      <c r="E8" s="355"/>
      <c r="F8" s="212" t="s">
        <v>699</v>
      </c>
      <c r="G8" s="741">
        <f>$W$6</f>
        <v>1000</v>
      </c>
      <c r="H8" s="741"/>
      <c r="I8" s="22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15"/>
      <c r="AC8" s="802">
        <f>MATCH($Q$31,$AH$7:$AH$14,FALSE)</f>
        <v>1</v>
      </c>
      <c r="AD8" s="791"/>
      <c r="AE8" s="790">
        <f>MATCH($K$31,$AI$6:$AM$6,FALSE)</f>
        <v>5</v>
      </c>
      <c r="AF8" s="791"/>
      <c r="AG8" s="15"/>
      <c r="AH8" s="223" t="s">
        <v>343</v>
      </c>
      <c r="AI8" s="226">
        <v>1.74</v>
      </c>
      <c r="AJ8" s="226">
        <v>1.62</v>
      </c>
      <c r="AK8" s="226">
        <v>1.47</v>
      </c>
      <c r="AL8" s="226">
        <v>1.25</v>
      </c>
      <c r="AM8" s="226">
        <v>1.07</v>
      </c>
      <c r="AN8" s="227">
        <v>2</v>
      </c>
      <c r="AO8" s="38"/>
      <c r="AP8" s="38"/>
      <c r="AQ8" s="38"/>
      <c r="AR8" s="14"/>
      <c r="AS8" s="14"/>
      <c r="AT8" s="14"/>
      <c r="AU8" s="14"/>
    </row>
    <row r="9" spans="1:47" ht="18" customHeight="1">
      <c r="A9" s="210"/>
      <c r="B9" s="210"/>
      <c r="C9" s="247"/>
      <c r="D9" s="438"/>
      <c r="E9" s="247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15"/>
      <c r="AC9" s="15"/>
      <c r="AD9" s="15"/>
      <c r="AE9" s="15"/>
      <c r="AF9" s="15"/>
      <c r="AG9" s="15"/>
      <c r="AH9" s="223" t="s">
        <v>344</v>
      </c>
      <c r="AI9" s="226">
        <v>1.84</v>
      </c>
      <c r="AJ9" s="226">
        <v>1.74</v>
      </c>
      <c r="AK9" s="226">
        <v>1.59</v>
      </c>
      <c r="AL9" s="226">
        <v>1.36</v>
      </c>
      <c r="AM9" s="226">
        <v>1.13</v>
      </c>
      <c r="AN9" s="227">
        <v>3</v>
      </c>
      <c r="AO9" s="38"/>
      <c r="AP9" s="38"/>
      <c r="AQ9" s="38"/>
      <c r="AR9" s="14"/>
      <c r="AS9" s="14"/>
      <c r="AT9" s="14"/>
      <c r="AU9" s="14"/>
    </row>
    <row r="10" spans="1:47" ht="18" customHeight="1">
      <c r="A10" s="210"/>
      <c r="B10" s="210"/>
      <c r="C10" s="247"/>
      <c r="D10" s="247"/>
      <c r="E10" s="247"/>
      <c r="F10" s="210"/>
      <c r="G10" s="480"/>
      <c r="H10" s="247"/>
      <c r="I10" s="210"/>
      <c r="J10" s="48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2"/>
      <c r="Z10" s="210"/>
      <c r="AA10" s="210"/>
      <c r="AB10" s="15"/>
      <c r="AC10" s="15"/>
      <c r="AD10" s="15">
        <v>1</v>
      </c>
      <c r="AE10" s="15">
        <v>500</v>
      </c>
      <c r="AF10" s="15"/>
      <c r="AG10" s="15"/>
      <c r="AH10" s="223" t="s">
        <v>345</v>
      </c>
      <c r="AI10" s="226">
        <v>1.84</v>
      </c>
      <c r="AJ10" s="226">
        <v>1.74</v>
      </c>
      <c r="AK10" s="226">
        <v>1.68</v>
      </c>
      <c r="AL10" s="226">
        <v>1.46</v>
      </c>
      <c r="AM10" s="226">
        <v>1.22</v>
      </c>
      <c r="AN10" s="227">
        <v>4</v>
      </c>
      <c r="AO10" s="38"/>
      <c r="AP10" s="38"/>
      <c r="AQ10" s="38"/>
      <c r="AR10" s="14"/>
      <c r="AS10" s="14"/>
      <c r="AT10" s="14"/>
      <c r="AU10" s="14"/>
    </row>
    <row r="11" spans="1:47" ht="18" customHeight="1">
      <c r="A11" s="247"/>
      <c r="B11" s="247"/>
      <c r="C11" s="210"/>
      <c r="D11" s="730">
        <v>1200</v>
      </c>
      <c r="E11" s="438"/>
      <c r="F11" s="211"/>
      <c r="G11" s="480"/>
      <c r="H11" s="480"/>
      <c r="I11" s="210"/>
      <c r="J11" s="210"/>
      <c r="K11" s="247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2"/>
      <c r="Z11" s="210"/>
      <c r="AA11" s="210"/>
      <c r="AB11" s="15"/>
      <c r="AC11" s="15"/>
      <c r="AD11" s="15">
        <v>2</v>
      </c>
      <c r="AE11" s="15">
        <v>1000</v>
      </c>
      <c r="AF11" s="15"/>
      <c r="AG11" s="15"/>
      <c r="AH11" s="223" t="s">
        <v>346</v>
      </c>
      <c r="AI11" s="226">
        <v>1.92</v>
      </c>
      <c r="AJ11" s="226">
        <v>1.85</v>
      </c>
      <c r="AK11" s="226">
        <v>1.68</v>
      </c>
      <c r="AL11" s="226">
        <v>1.46</v>
      </c>
      <c r="AM11" s="226">
        <v>1.22</v>
      </c>
      <c r="AN11" s="227">
        <v>5</v>
      </c>
      <c r="AO11" s="38"/>
      <c r="AP11" s="38"/>
      <c r="AQ11" s="38"/>
      <c r="AR11" s="14"/>
      <c r="AS11" s="14"/>
      <c r="AT11" s="14"/>
      <c r="AU11" s="14"/>
    </row>
    <row r="12" spans="1:47" ht="18" customHeight="1">
      <c r="A12" s="247"/>
      <c r="B12" s="247"/>
      <c r="C12" s="210"/>
      <c r="D12" s="730"/>
      <c r="E12" s="247"/>
      <c r="F12" s="211"/>
      <c r="G12" s="480"/>
      <c r="H12" s="480"/>
      <c r="I12" s="210"/>
      <c r="J12" s="210"/>
      <c r="K12" s="438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2"/>
      <c r="Z12" s="210"/>
      <c r="AA12" s="210"/>
      <c r="AB12" s="15"/>
      <c r="AC12" s="15"/>
      <c r="AD12" s="15">
        <v>3</v>
      </c>
      <c r="AE12" s="15">
        <v>1500</v>
      </c>
      <c r="AF12" s="15"/>
      <c r="AG12" s="15"/>
      <c r="AH12" s="223" t="s">
        <v>347</v>
      </c>
      <c r="AI12" s="226">
        <v>1.92</v>
      </c>
      <c r="AJ12" s="226">
        <v>1.85</v>
      </c>
      <c r="AK12" s="226">
        <v>1.68</v>
      </c>
      <c r="AL12" s="226">
        <v>1.55</v>
      </c>
      <c r="AM12" s="226">
        <v>1.31</v>
      </c>
      <c r="AN12" s="227">
        <v>6</v>
      </c>
      <c r="AO12" s="38"/>
      <c r="AP12" s="38"/>
      <c r="AQ12" s="38"/>
      <c r="AR12" s="14"/>
      <c r="AS12" s="14"/>
      <c r="AT12" s="14"/>
      <c r="AU12" s="14"/>
    </row>
    <row r="13" spans="1:47" ht="18" customHeight="1">
      <c r="A13" s="247"/>
      <c r="B13" s="247"/>
      <c r="C13" s="480"/>
      <c r="D13" s="730"/>
      <c r="E13" s="428"/>
      <c r="F13" s="732">
        <f>$E$14-$F$17</f>
        <v>1100</v>
      </c>
      <c r="G13" s="480"/>
      <c r="H13" s="210"/>
      <c r="I13" s="210"/>
      <c r="J13" s="211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20"/>
      <c r="X13" s="476"/>
      <c r="Y13" s="210"/>
      <c r="Z13" s="210"/>
      <c r="AA13" s="210"/>
      <c r="AB13" s="15"/>
      <c r="AC13" s="15"/>
      <c r="AD13" s="15">
        <v>4</v>
      </c>
      <c r="AE13" s="15">
        <v>2000</v>
      </c>
      <c r="AF13" s="15"/>
      <c r="AG13" s="15"/>
      <c r="AH13" s="223" t="s">
        <v>348</v>
      </c>
      <c r="AI13" s="226">
        <v>1.92</v>
      </c>
      <c r="AJ13" s="226">
        <v>1.85</v>
      </c>
      <c r="AK13" s="226">
        <v>1.77</v>
      </c>
      <c r="AL13" s="226">
        <v>1.55</v>
      </c>
      <c r="AM13" s="226">
        <v>1.31</v>
      </c>
      <c r="AN13" s="227">
        <v>7</v>
      </c>
      <c r="AO13" s="38"/>
      <c r="AP13" s="38"/>
      <c r="AQ13" s="38"/>
      <c r="AR13" s="14"/>
      <c r="AS13" s="14"/>
      <c r="AT13" s="14"/>
      <c r="AU13" s="14"/>
    </row>
    <row r="14" spans="1:47" ht="18" customHeight="1">
      <c r="A14" s="247"/>
      <c r="B14" s="247"/>
      <c r="C14" s="480"/>
      <c r="D14" s="480"/>
      <c r="E14" s="733">
        <v>2000</v>
      </c>
      <c r="F14" s="732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2"/>
      <c r="V14" s="210"/>
      <c r="W14" s="220"/>
      <c r="X14" s="476"/>
      <c r="Y14" s="212"/>
      <c r="Z14" s="210"/>
      <c r="AA14" s="210"/>
      <c r="AB14" s="15"/>
      <c r="AC14" s="15"/>
      <c r="AD14" s="15">
        <v>5</v>
      </c>
      <c r="AE14" s="15">
        <v>2500</v>
      </c>
      <c r="AF14" s="15"/>
      <c r="AG14" s="15"/>
      <c r="AH14" s="230" t="s">
        <v>350</v>
      </c>
      <c r="AI14" s="231">
        <v>1.99</v>
      </c>
      <c r="AJ14" s="231">
        <v>1.94</v>
      </c>
      <c r="AK14" s="231">
        <v>1.84</v>
      </c>
      <c r="AL14" s="231">
        <v>1.64</v>
      </c>
      <c r="AM14" s="231">
        <v>1.41</v>
      </c>
      <c r="AN14" s="232">
        <v>8</v>
      </c>
      <c r="AO14" s="38"/>
      <c r="AP14" s="38"/>
      <c r="AQ14" s="38"/>
      <c r="AR14" s="14"/>
      <c r="AS14" s="14"/>
      <c r="AT14" s="14"/>
      <c r="AU14" s="14"/>
    </row>
    <row r="15" spans="1:48" ht="18" customHeight="1">
      <c r="A15" s="438"/>
      <c r="B15" s="247"/>
      <c r="C15" s="480"/>
      <c r="D15" s="481"/>
      <c r="E15" s="734"/>
      <c r="F15" s="211"/>
      <c r="G15" s="210"/>
      <c r="H15" s="210"/>
      <c r="I15" s="210"/>
      <c r="J15" s="210"/>
      <c r="K15" s="247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15"/>
      <c r="AC15" s="15"/>
      <c r="AD15" s="15">
        <v>6</v>
      </c>
      <c r="AE15" s="15">
        <v>3000</v>
      </c>
      <c r="AF15" s="15"/>
      <c r="AG15" s="15"/>
      <c r="AH15" s="233" t="s">
        <v>351</v>
      </c>
      <c r="AI15" s="234">
        <v>1</v>
      </c>
      <c r="AJ15" s="234">
        <v>2</v>
      </c>
      <c r="AK15" s="234">
        <v>3</v>
      </c>
      <c r="AL15" s="234">
        <v>4</v>
      </c>
      <c r="AM15" s="234">
        <v>5</v>
      </c>
      <c r="AN15" s="235"/>
      <c r="AO15" s="38"/>
      <c r="AP15" s="38"/>
      <c r="AQ15" s="38"/>
      <c r="AR15" s="14"/>
      <c r="AS15" s="14"/>
      <c r="AT15" s="14"/>
      <c r="AU15" s="14"/>
      <c r="AV15" s="39"/>
    </row>
    <row r="16" spans="1:47" ht="18" customHeight="1">
      <c r="A16" s="476"/>
      <c r="B16" s="247"/>
      <c r="C16" s="480"/>
      <c r="D16" s="733">
        <v>800</v>
      </c>
      <c r="E16" s="734"/>
      <c r="F16" s="210"/>
      <c r="G16" s="210"/>
      <c r="H16" s="210"/>
      <c r="I16" s="222"/>
      <c r="J16" s="210"/>
      <c r="K16" s="247"/>
      <c r="L16" s="228"/>
      <c r="M16" s="210"/>
      <c r="N16" s="210"/>
      <c r="O16" s="210"/>
      <c r="P16" s="210"/>
      <c r="Q16" s="210"/>
      <c r="R16" s="210"/>
      <c r="S16" s="210"/>
      <c r="T16" s="210" t="s">
        <v>655</v>
      </c>
      <c r="U16" s="210"/>
      <c r="V16" s="210"/>
      <c r="W16" s="210"/>
      <c r="X16" s="212" t="s">
        <v>700</v>
      </c>
      <c r="Y16" s="741">
        <f>おやご!Q3</f>
        <v>850</v>
      </c>
      <c r="Z16" s="741"/>
      <c r="AA16" s="222"/>
      <c r="AB16" s="15"/>
      <c r="AC16" s="15"/>
      <c r="AD16" s="15">
        <v>7</v>
      </c>
      <c r="AE16" s="15">
        <v>3500</v>
      </c>
      <c r="AF16" s="66"/>
      <c r="AG16" s="66"/>
      <c r="AH16" s="211"/>
      <c r="AI16" s="236"/>
      <c r="AJ16" s="211"/>
      <c r="AK16" s="211"/>
      <c r="AL16" s="211"/>
      <c r="AM16" s="211"/>
      <c r="AN16" s="211"/>
      <c r="AO16" s="38"/>
      <c r="AP16" s="38"/>
      <c r="AQ16" s="38"/>
      <c r="AR16" s="14"/>
      <c r="AS16" s="14"/>
      <c r="AT16" s="14"/>
      <c r="AU16" s="14"/>
    </row>
    <row r="17" spans="1:47" ht="18" customHeight="1">
      <c r="A17" s="222"/>
      <c r="B17" s="210"/>
      <c r="C17" s="480"/>
      <c r="D17" s="735"/>
      <c r="E17" s="247"/>
      <c r="F17" s="731">
        <v>900</v>
      </c>
      <c r="G17" s="210"/>
      <c r="H17" s="461"/>
      <c r="I17" s="212"/>
      <c r="J17" s="210"/>
      <c r="K17" s="210"/>
      <c r="L17" s="228"/>
      <c r="M17" s="210"/>
      <c r="N17" s="210"/>
      <c r="O17" s="210"/>
      <c r="P17" s="210"/>
      <c r="Q17" s="210"/>
      <c r="R17" s="210"/>
      <c r="S17" s="210"/>
      <c r="T17" s="210" t="s">
        <v>526</v>
      </c>
      <c r="U17" s="210"/>
      <c r="V17" s="210"/>
      <c r="W17" s="210"/>
      <c r="X17" s="212" t="s">
        <v>700</v>
      </c>
      <c r="Y17" s="741">
        <f>おやご!Q3</f>
        <v>850</v>
      </c>
      <c r="Z17" s="741"/>
      <c r="AA17" s="222"/>
      <c r="AB17" s="237"/>
      <c r="AC17" s="237"/>
      <c r="AD17" s="15">
        <v>8</v>
      </c>
      <c r="AE17" s="15">
        <v>4000</v>
      </c>
      <c r="AF17" s="15"/>
      <c r="AG17" s="15"/>
      <c r="AH17" s="211"/>
      <c r="AI17" s="238"/>
      <c r="AJ17" s="238"/>
      <c r="AK17" s="238"/>
      <c r="AL17" s="238"/>
      <c r="AM17" s="238"/>
      <c r="AN17" s="211"/>
      <c r="AO17" s="38"/>
      <c r="AP17" s="38"/>
      <c r="AQ17" s="38"/>
      <c r="AR17" s="14"/>
      <c r="AS17" s="14"/>
      <c r="AT17" s="14"/>
      <c r="AU17" s="14"/>
    </row>
    <row r="18" spans="1:47" ht="18" customHeight="1">
      <c r="A18" s="210"/>
      <c r="B18" s="210"/>
      <c r="C18" s="480"/>
      <c r="D18" s="480"/>
      <c r="E18" s="216"/>
      <c r="F18" s="731"/>
      <c r="G18" s="210"/>
      <c r="H18" s="240"/>
      <c r="I18" s="211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2"/>
      <c r="AA18" s="216"/>
      <c r="AB18" s="237"/>
      <c r="AC18" s="237"/>
      <c r="AD18" s="15">
        <v>9</v>
      </c>
      <c r="AE18" s="15">
        <v>4500</v>
      </c>
      <c r="AF18" s="15"/>
      <c r="AG18" s="15"/>
      <c r="AH18" s="38" t="s">
        <v>352</v>
      </c>
      <c r="AI18" s="238"/>
      <c r="AJ18" s="238"/>
      <c r="AK18" s="238"/>
      <c r="AL18" s="238"/>
      <c r="AM18" s="238"/>
      <c r="AN18" s="211"/>
      <c r="AO18" s="38"/>
      <c r="AP18" s="38"/>
      <c r="AQ18" s="38"/>
      <c r="AR18" s="14"/>
      <c r="AS18" s="14"/>
      <c r="AT18" s="14"/>
      <c r="AU18" s="14"/>
    </row>
    <row r="19" spans="1:47" ht="18" customHeight="1">
      <c r="A19" s="210"/>
      <c r="B19" s="210"/>
      <c r="C19" s="210"/>
      <c r="D19" s="480"/>
      <c r="E19" s="210"/>
      <c r="F19" s="239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41"/>
      <c r="AC19" s="241"/>
      <c r="AD19" s="242"/>
      <c r="AE19" s="15">
        <v>5000</v>
      </c>
      <c r="AF19" s="15"/>
      <c r="AG19" s="15"/>
      <c r="AH19" s="233" t="s">
        <v>353</v>
      </c>
      <c r="AI19" s="243" t="s">
        <v>354</v>
      </c>
      <c r="AJ19" s="244"/>
      <c r="AK19" s="429"/>
      <c r="AL19" s="244"/>
      <c r="AM19" s="244"/>
      <c r="AN19" s="211"/>
      <c r="AO19" s="38"/>
      <c r="AP19" s="38"/>
      <c r="AQ19" s="38"/>
      <c r="AR19" s="14"/>
      <c r="AS19" s="14"/>
      <c r="AT19" s="14"/>
      <c r="AU19" s="14"/>
    </row>
    <row r="20" spans="1:47" ht="18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45"/>
      <c r="Z20" s="210"/>
      <c r="AA20" s="210"/>
      <c r="AB20" s="15"/>
      <c r="AC20" s="15"/>
      <c r="AD20" s="15"/>
      <c r="AE20" s="15">
        <v>5500</v>
      </c>
      <c r="AF20" s="15"/>
      <c r="AG20" s="15"/>
      <c r="AH20" s="225" t="s">
        <v>355</v>
      </c>
      <c r="AI20" s="246">
        <v>1.1</v>
      </c>
      <c r="AJ20" s="247"/>
      <c r="AK20" s="430"/>
      <c r="AL20" s="248"/>
      <c r="AM20" s="248"/>
      <c r="AN20" s="211"/>
      <c r="AO20" s="38"/>
      <c r="AP20" s="38"/>
      <c r="AQ20" s="38"/>
      <c r="AR20" s="14"/>
      <c r="AS20" s="14"/>
      <c r="AT20" s="14"/>
      <c r="AU20" s="14"/>
    </row>
    <row r="21" spans="1:47" ht="18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15"/>
      <c r="AC21" s="15"/>
      <c r="AD21" s="15"/>
      <c r="AE21" s="15"/>
      <c r="AF21" s="15"/>
      <c r="AG21" s="15"/>
      <c r="AH21" s="98" t="s">
        <v>356</v>
      </c>
      <c r="AI21" s="249">
        <v>1.1</v>
      </c>
      <c r="AJ21" s="228"/>
      <c r="AK21" s="210"/>
      <c r="AL21" s="250"/>
      <c r="AM21" s="15"/>
      <c r="AN21" s="38"/>
      <c r="AO21" s="38"/>
      <c r="AP21" s="38"/>
      <c r="AQ21" s="38"/>
      <c r="AR21" s="14"/>
      <c r="AS21" s="14"/>
      <c r="AT21" s="14"/>
      <c r="AU21" s="14"/>
    </row>
    <row r="22" spans="1:47" ht="18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745">
        <v>1000</v>
      </c>
      <c r="L22" s="746"/>
      <c r="M22" s="746"/>
      <c r="N22" s="477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15"/>
      <c r="AC22" s="15"/>
      <c r="AD22" s="15"/>
      <c r="AE22" s="15"/>
      <c r="AF22" s="15"/>
      <c r="AG22" s="15"/>
      <c r="AH22" s="98" t="s">
        <v>357</v>
      </c>
      <c r="AI22" s="249">
        <v>1.1</v>
      </c>
      <c r="AJ22" s="38"/>
      <c r="AK22" s="15"/>
      <c r="AL22" s="250"/>
      <c r="AM22" s="15"/>
      <c r="AN22" s="38"/>
      <c r="AO22" s="38"/>
      <c r="AP22" s="38"/>
      <c r="AQ22" s="38"/>
      <c r="AR22" s="14"/>
      <c r="AS22" s="14"/>
      <c r="AT22" s="14"/>
      <c r="AU22" s="14"/>
    </row>
    <row r="23" spans="1:47" ht="18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51"/>
      <c r="L23" s="747">
        <v>1500</v>
      </c>
      <c r="M23" s="747"/>
      <c r="N23" s="491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15"/>
      <c r="AC23" s="15"/>
      <c r="AD23" s="15"/>
      <c r="AE23" s="38"/>
      <c r="AF23" s="38"/>
      <c r="AG23" s="38"/>
      <c r="AH23" s="98" t="s">
        <v>358</v>
      </c>
      <c r="AI23" s="249">
        <v>1.1</v>
      </c>
      <c r="AJ23" s="38"/>
      <c r="AK23" s="15"/>
      <c r="AL23" s="250"/>
      <c r="AM23" s="15"/>
      <c r="AN23" s="38"/>
      <c r="AO23" s="38"/>
      <c r="AP23" s="38"/>
      <c r="AQ23" s="38"/>
      <c r="AR23" s="14"/>
      <c r="AS23" s="14"/>
      <c r="AT23" s="14"/>
      <c r="AU23" s="14"/>
    </row>
    <row r="24" spans="1:47" ht="18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29"/>
      <c r="N24" s="229"/>
      <c r="O24" s="252"/>
      <c r="P24" s="252"/>
      <c r="Q24" s="251"/>
      <c r="R24" s="229"/>
      <c r="S24" s="229"/>
      <c r="T24" s="253"/>
      <c r="U24" s="210"/>
      <c r="V24" s="210"/>
      <c r="W24" s="210"/>
      <c r="X24" s="210"/>
      <c r="Y24" s="210"/>
      <c r="Z24" s="210"/>
      <c r="AA24" s="210"/>
      <c r="AB24" s="15"/>
      <c r="AC24" s="15"/>
      <c r="AD24" s="15"/>
      <c r="AE24" s="15"/>
      <c r="AF24" s="15"/>
      <c r="AG24" s="15"/>
      <c r="AH24" s="98" t="s">
        <v>359</v>
      </c>
      <c r="AI24" s="249">
        <v>1.1</v>
      </c>
      <c r="AJ24" s="38"/>
      <c r="AK24" s="15"/>
      <c r="AL24" s="250"/>
      <c r="AM24" s="15"/>
      <c r="AN24" s="38"/>
      <c r="AO24" s="38"/>
      <c r="AP24" s="38"/>
      <c r="AQ24" s="38"/>
      <c r="AR24" s="14"/>
      <c r="AS24" s="14"/>
      <c r="AT24" s="14"/>
      <c r="AU24" s="14"/>
    </row>
    <row r="25" spans="1:47" ht="18" customHeight="1">
      <c r="A25" s="15" t="s">
        <v>360</v>
      </c>
      <c r="B25" s="15"/>
      <c r="C25" s="15"/>
      <c r="D25" s="15"/>
      <c r="E25" s="15"/>
      <c r="F25" s="10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30"/>
      <c r="V25" s="30"/>
      <c r="W25" s="15"/>
      <c r="X25" s="15"/>
      <c r="Y25" s="30"/>
      <c r="Z25" s="30"/>
      <c r="AA25" s="15"/>
      <c r="AB25" s="15"/>
      <c r="AC25" s="15"/>
      <c r="AD25" s="15"/>
      <c r="AE25" s="15"/>
      <c r="AF25" s="15"/>
      <c r="AG25" s="15"/>
      <c r="AH25" s="98" t="s">
        <v>361</v>
      </c>
      <c r="AI25" s="249">
        <v>1.1</v>
      </c>
      <c r="AJ25" s="38"/>
      <c r="AK25" s="38"/>
      <c r="AL25" s="38"/>
      <c r="AM25" s="38"/>
      <c r="AN25" s="38"/>
      <c r="AO25" s="38"/>
      <c r="AP25" s="38"/>
      <c r="AQ25" s="38"/>
      <c r="AR25" s="14"/>
      <c r="AS25" s="14"/>
      <c r="AT25" s="14"/>
      <c r="AU25" s="14"/>
    </row>
    <row r="26" spans="1:47" ht="18" customHeight="1">
      <c r="A26" s="15"/>
      <c r="B26" s="15" t="s">
        <v>362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08" t="s">
        <v>363</v>
      </c>
      <c r="AI26" s="254">
        <v>1.1</v>
      </c>
      <c r="AJ26" s="38"/>
      <c r="AK26" s="38"/>
      <c r="AL26" s="38"/>
      <c r="AM26" s="38"/>
      <c r="AN26" s="38"/>
      <c r="AO26" s="38"/>
      <c r="AP26" s="38"/>
      <c r="AQ26" s="38"/>
      <c r="AR26" s="14"/>
      <c r="AS26" s="14"/>
      <c r="AT26" s="14"/>
      <c r="AU26" s="14"/>
    </row>
    <row r="27" spans="1:47" ht="18" customHeight="1">
      <c r="A27" s="15"/>
      <c r="B27" s="15"/>
      <c r="C27" s="15" t="s">
        <v>364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87" t="s">
        <v>365</v>
      </c>
      <c r="AI27" s="255">
        <v>1.2</v>
      </c>
      <c r="AJ27" s="38"/>
      <c r="AK27" s="38"/>
      <c r="AL27" s="38"/>
      <c r="AM27" s="38"/>
      <c r="AN27" s="38"/>
      <c r="AO27" s="38"/>
      <c r="AP27" s="38"/>
      <c r="AQ27" s="38"/>
      <c r="AR27" s="14"/>
      <c r="AS27" s="14"/>
      <c r="AT27" s="14"/>
      <c r="AU27" s="14"/>
    </row>
    <row r="28" spans="1:47" ht="18" customHeight="1">
      <c r="A28" s="19"/>
      <c r="B28" s="15"/>
      <c r="C28" s="15" t="s">
        <v>366</v>
      </c>
      <c r="D28" s="15"/>
      <c r="E28" s="15"/>
      <c r="F28" s="15"/>
      <c r="G28" s="15"/>
      <c r="H28" s="15"/>
      <c r="I28" s="742">
        <f>$F$29</f>
        <v>16</v>
      </c>
      <c r="J28" s="743"/>
      <c r="K28" s="19" t="s">
        <v>367</v>
      </c>
      <c r="L28" s="629">
        <f>$F$30</f>
        <v>1.1</v>
      </c>
      <c r="M28" s="629"/>
      <c r="N28" s="19" t="s">
        <v>367</v>
      </c>
      <c r="O28" s="744">
        <f>$F$31</f>
        <v>1.07</v>
      </c>
      <c r="P28" s="744"/>
      <c r="Q28" s="19" t="s">
        <v>367</v>
      </c>
      <c r="R28" s="629">
        <f>$F$32</f>
        <v>1</v>
      </c>
      <c r="S28" s="629"/>
      <c r="T28" s="256" t="s">
        <v>368</v>
      </c>
      <c r="U28" s="629">
        <f>$I$28*$L$28*$O$28*$R$28</f>
        <v>18.8</v>
      </c>
      <c r="V28" s="629"/>
      <c r="W28" s="19" t="s">
        <v>369</v>
      </c>
      <c r="X28" s="19"/>
      <c r="Y28" s="102"/>
      <c r="Z28" s="15"/>
      <c r="AA28" s="19"/>
      <c r="AB28" s="15"/>
      <c r="AC28" s="15"/>
      <c r="AD28" s="15"/>
      <c r="AE28" s="15"/>
      <c r="AF28" s="15"/>
      <c r="AG28" s="15"/>
      <c r="AH28" s="108" t="s">
        <v>370</v>
      </c>
      <c r="AI28" s="257">
        <v>1.2</v>
      </c>
      <c r="AJ28" s="38"/>
      <c r="AK28" s="38"/>
      <c r="AL28" s="38"/>
      <c r="AM28" s="38"/>
      <c r="AN28" s="38"/>
      <c r="AO28" s="38"/>
      <c r="AP28" s="38"/>
      <c r="AQ28" s="38"/>
      <c r="AR28" s="14"/>
      <c r="AS28" s="14"/>
      <c r="AT28" s="14"/>
      <c r="AU28" s="14"/>
    </row>
    <row r="29" spans="1:47" ht="18" customHeight="1">
      <c r="A29" s="15"/>
      <c r="B29" s="15"/>
      <c r="C29" s="15"/>
      <c r="D29" s="15" t="s">
        <v>371</v>
      </c>
      <c r="E29" s="19" t="s">
        <v>368</v>
      </c>
      <c r="F29" s="555">
        <f>'基準風速決定表'!$I$1</f>
        <v>16</v>
      </c>
      <c r="G29" s="555"/>
      <c r="H29" s="258" t="s">
        <v>369</v>
      </c>
      <c r="I29" s="259"/>
      <c r="J29" s="18" t="s">
        <v>372</v>
      </c>
      <c r="K29" s="15" t="s">
        <v>373</v>
      </c>
      <c r="L29" s="34"/>
      <c r="M29" s="15"/>
      <c r="N29" s="34"/>
      <c r="O29" s="34"/>
      <c r="P29" s="30"/>
      <c r="Q29" s="165" t="s">
        <v>673</v>
      </c>
      <c r="R29" s="28"/>
      <c r="S29" s="28"/>
      <c r="T29" s="15"/>
      <c r="U29" s="244" t="s">
        <v>378</v>
      </c>
      <c r="V29" s="15"/>
      <c r="W29" s="15"/>
      <c r="X29" s="30"/>
      <c r="Y29" s="15"/>
      <c r="Z29" s="15"/>
      <c r="AA29" s="30"/>
      <c r="AB29" s="19"/>
      <c r="AC29" s="19"/>
      <c r="AD29" s="15"/>
      <c r="AE29" s="15"/>
      <c r="AF29" s="15"/>
      <c r="AG29" s="15"/>
      <c r="AH29" s="260" t="s">
        <v>374</v>
      </c>
      <c r="AI29" s="261">
        <v>1</v>
      </c>
      <c r="AJ29" s="38"/>
      <c r="AK29" s="38"/>
      <c r="AL29" s="38"/>
      <c r="AM29" s="38"/>
      <c r="AN29" s="38"/>
      <c r="AO29" s="38"/>
      <c r="AP29" s="38"/>
      <c r="AQ29" s="38"/>
      <c r="AR29" s="14"/>
      <c r="AS29" s="14"/>
      <c r="AT29" s="14"/>
      <c r="AU29" s="14"/>
    </row>
    <row r="30" spans="1:47" ht="18" customHeight="1">
      <c r="A30" s="15"/>
      <c r="B30" s="15"/>
      <c r="C30" s="15"/>
      <c r="D30" s="15" t="s">
        <v>375</v>
      </c>
      <c r="E30" s="19" t="s">
        <v>160</v>
      </c>
      <c r="F30" s="736">
        <f>VLOOKUP($Q$30,$AH$20:$AI$29,2,FALSE)</f>
        <v>1.1</v>
      </c>
      <c r="G30" s="736"/>
      <c r="H30" s="15"/>
      <c r="I30" s="15"/>
      <c r="J30" s="18" t="s">
        <v>376</v>
      </c>
      <c r="K30" s="15" t="s">
        <v>377</v>
      </c>
      <c r="L30" s="34"/>
      <c r="M30" s="15"/>
      <c r="N30" s="34"/>
      <c r="O30" s="34"/>
      <c r="P30" s="30"/>
      <c r="Q30" s="772" t="s">
        <v>355</v>
      </c>
      <c r="R30" s="773"/>
      <c r="S30" s="773"/>
      <c r="T30" s="773"/>
      <c r="U30" s="244" t="s">
        <v>378</v>
      </c>
      <c r="V30" s="15"/>
      <c r="W30" s="15"/>
      <c r="X30" s="30"/>
      <c r="Y30" s="15"/>
      <c r="Z30" s="15"/>
      <c r="AA30" s="30"/>
      <c r="AB30" s="30"/>
      <c r="AC30" s="30"/>
      <c r="AD30" s="15"/>
      <c r="AE30" s="15"/>
      <c r="AF30" s="15"/>
      <c r="AG30" s="15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14"/>
      <c r="AS30" s="14"/>
      <c r="AT30" s="14"/>
      <c r="AU30" s="14"/>
    </row>
    <row r="31" spans="1:48" ht="18" customHeight="1">
      <c r="A31" s="15"/>
      <c r="B31" s="15"/>
      <c r="C31" s="15"/>
      <c r="D31" s="15" t="s">
        <v>379</v>
      </c>
      <c r="E31" s="19" t="s">
        <v>160</v>
      </c>
      <c r="F31" s="737">
        <f>INDEX($AI$7:$AM$14,$AC$8,$AE$8)</f>
        <v>1.07</v>
      </c>
      <c r="G31" s="737"/>
      <c r="H31" s="91"/>
      <c r="I31" s="91"/>
      <c r="J31" s="18" t="s">
        <v>376</v>
      </c>
      <c r="K31" s="774" t="s">
        <v>339</v>
      </c>
      <c r="L31" s="775"/>
      <c r="M31" s="775"/>
      <c r="N31" s="775"/>
      <c r="O31" s="775"/>
      <c r="P31" s="773"/>
      <c r="Q31" s="774" t="s">
        <v>545</v>
      </c>
      <c r="R31" s="775"/>
      <c r="S31" s="775"/>
      <c r="T31" s="775"/>
      <c r="U31" s="244" t="s">
        <v>378</v>
      </c>
      <c r="V31" s="244"/>
      <c r="W31" s="244"/>
      <c r="X31" s="264"/>
      <c r="Y31" s="264"/>
      <c r="Z31" s="15"/>
      <c r="AA31" s="15"/>
      <c r="AB31" s="244"/>
      <c r="AC31" s="30"/>
      <c r="AD31" s="30"/>
      <c r="AE31" s="15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14"/>
      <c r="AT31" s="14"/>
      <c r="AU31" s="14"/>
      <c r="AV31" s="14"/>
    </row>
    <row r="32" spans="1:47" ht="18" customHeight="1">
      <c r="A32" s="15"/>
      <c r="B32" s="15"/>
      <c r="C32" s="15"/>
      <c r="D32" s="15" t="s">
        <v>380</v>
      </c>
      <c r="E32" s="19" t="s">
        <v>160</v>
      </c>
      <c r="F32" s="736">
        <f>IF($P$32="あり",IF($AF$42&lt;$X$41,$AJ$42,IF($AF$43&lt;$X$41,$AJ$43,IF($AF$44&lt;$X$41,$AJ$44,$AJ$45))),1)</f>
        <v>1</v>
      </c>
      <c r="G32" s="736">
        <f>IF($AF$42&lt;$X$42,1,IF($AF$43&lt;$X$42,2,IF($AF$44&lt;$X$42,3,4)))</f>
        <v>4</v>
      </c>
      <c r="H32" s="91"/>
      <c r="I32" s="91"/>
      <c r="J32" s="265" t="s">
        <v>376</v>
      </c>
      <c r="K32" s="15" t="s">
        <v>381</v>
      </c>
      <c r="L32" s="29"/>
      <c r="M32" s="29"/>
      <c r="N32" s="102"/>
      <c r="O32" s="15"/>
      <c r="P32" s="570" t="s">
        <v>674</v>
      </c>
      <c r="Q32" s="570"/>
      <c r="R32" s="29" t="str">
        <f>IF($P$32="あり",IF($AF$42&lt;$X$43,$AK$42,IF($AF$43&lt;$X$43,$AK$43,IF($AF$44&lt;$X$43,$AK$44,$AK$45))),$AK$42)</f>
        <v>建築物の影響を受けない）</v>
      </c>
      <c r="S32" s="15"/>
      <c r="T32" s="30"/>
      <c r="U32" s="30"/>
      <c r="V32" s="15"/>
      <c r="W32" s="15"/>
      <c r="X32" s="30"/>
      <c r="Y32" s="15"/>
      <c r="Z32" s="15"/>
      <c r="AA32" s="30"/>
      <c r="AB32" s="244"/>
      <c r="AC32" s="244"/>
      <c r="AD32" s="15"/>
      <c r="AE32" s="15"/>
      <c r="AF32" s="15"/>
      <c r="AG32" s="15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14"/>
      <c r="AS32" s="14"/>
      <c r="AT32" s="14"/>
      <c r="AU32" s="14"/>
    </row>
    <row r="33" spans="1:47" ht="18" customHeight="1">
      <c r="A33" s="15"/>
      <c r="B33" s="15"/>
      <c r="C33" s="15"/>
      <c r="D33" s="15"/>
      <c r="E33" s="102"/>
      <c r="F33" s="266"/>
      <c r="G33" s="266"/>
      <c r="H33" s="91"/>
      <c r="I33" s="91"/>
      <c r="J33" s="15"/>
      <c r="K33" s="15"/>
      <c r="L33" s="29"/>
      <c r="M33" s="29"/>
      <c r="N33" s="102"/>
      <c r="O33" s="15"/>
      <c r="P33" s="15"/>
      <c r="Q33" s="15"/>
      <c r="R33" s="15"/>
      <c r="S33" s="15"/>
      <c r="T33" s="30"/>
      <c r="U33" s="30"/>
      <c r="V33" s="15"/>
      <c r="W33" s="15"/>
      <c r="X33" s="30"/>
      <c r="Y33" s="135" t="s">
        <v>382</v>
      </c>
      <c r="Z33" s="135"/>
      <c r="AA33" s="30"/>
      <c r="AB33" s="30"/>
      <c r="AC33" s="30"/>
      <c r="AD33" s="15"/>
      <c r="AE33" s="15"/>
      <c r="AF33" s="15"/>
      <c r="AG33" s="15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14"/>
      <c r="AS33" s="14"/>
      <c r="AT33" s="14"/>
      <c r="AU33" s="14"/>
    </row>
    <row r="34" spans="1:47" ht="18" customHeight="1">
      <c r="A34" s="15"/>
      <c r="B34" s="15"/>
      <c r="C34" s="15" t="s">
        <v>383</v>
      </c>
      <c r="D34" s="15"/>
      <c r="E34" s="102"/>
      <c r="F34" s="26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67"/>
      <c r="V34" s="30"/>
      <c r="W34" s="15"/>
      <c r="X34" s="15"/>
      <c r="Y34" s="30"/>
      <c r="Z34" s="15"/>
      <c r="AA34" s="30"/>
      <c r="AB34" s="30"/>
      <c r="AC34" s="30"/>
      <c r="AD34" s="15"/>
      <c r="AE34" s="15"/>
      <c r="AF34" s="15"/>
      <c r="AG34" s="15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14"/>
      <c r="AS34" s="14"/>
      <c r="AT34" s="14"/>
      <c r="AU34" s="14"/>
    </row>
    <row r="35" spans="1:47" ht="18" customHeight="1">
      <c r="A35" s="15"/>
      <c r="B35" s="15"/>
      <c r="C35" s="15"/>
      <c r="D35" s="15" t="s">
        <v>384</v>
      </c>
      <c r="E35" s="102"/>
      <c r="F35" s="26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792" t="s">
        <v>385</v>
      </c>
      <c r="V35" s="30"/>
      <c r="W35" s="15"/>
      <c r="X35" s="15"/>
      <c r="Y35" s="30"/>
      <c r="Z35" s="267"/>
      <c r="AA35" s="30"/>
      <c r="AB35" s="30"/>
      <c r="AC35" s="30"/>
      <c r="AD35" s="15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14"/>
      <c r="AS35" s="14"/>
      <c r="AT35" s="14"/>
      <c r="AU35" s="14"/>
    </row>
    <row r="36" spans="1:47" ht="18" customHeight="1">
      <c r="A36" s="15"/>
      <c r="B36" s="15"/>
      <c r="C36" s="15"/>
      <c r="D36" s="15" t="s">
        <v>386</v>
      </c>
      <c r="E36" s="15" t="s">
        <v>387</v>
      </c>
      <c r="F36" s="26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792"/>
      <c r="V36" s="30"/>
      <c r="W36" s="15"/>
      <c r="X36" s="15"/>
      <c r="Y36" s="30"/>
      <c r="Z36" s="792" t="s">
        <v>388</v>
      </c>
      <c r="AA36" s="30"/>
      <c r="AB36" s="30"/>
      <c r="AC36" s="30"/>
      <c r="AD36" s="15"/>
      <c r="AE36" s="15"/>
      <c r="AF36" s="15"/>
      <c r="AG36" s="15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14"/>
      <c r="AS36" s="14"/>
      <c r="AT36" s="14"/>
      <c r="AU36" s="14"/>
    </row>
    <row r="37" spans="1:47" ht="18" customHeight="1">
      <c r="A37" s="15"/>
      <c r="B37" s="15"/>
      <c r="C37" s="15"/>
      <c r="D37" s="15"/>
      <c r="E37" s="15" t="s">
        <v>389</v>
      </c>
      <c r="F37" s="266"/>
      <c r="G37" s="15"/>
      <c r="H37" s="15"/>
      <c r="I37" s="15"/>
      <c r="J37" s="15"/>
      <c r="K37" s="15"/>
      <c r="L37" s="15"/>
      <c r="M37" s="15"/>
      <c r="N37" s="15"/>
      <c r="O37" s="15"/>
      <c r="P37" s="124"/>
      <c r="Q37" s="124"/>
      <c r="R37" s="124"/>
      <c r="S37" s="124"/>
      <c r="T37" s="124"/>
      <c r="U37" s="21"/>
      <c r="V37" s="21"/>
      <c r="W37" s="124"/>
      <c r="X37" s="124"/>
      <c r="Y37" s="21"/>
      <c r="Z37" s="792"/>
      <c r="AA37" s="30"/>
      <c r="AB37" s="30"/>
      <c r="AC37" s="268" t="s">
        <v>390</v>
      </c>
      <c r="AD37" s="15"/>
      <c r="AE37" s="15"/>
      <c r="AF37" s="15"/>
      <c r="AG37" s="15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14"/>
      <c r="AS37" s="14"/>
      <c r="AT37" s="14"/>
      <c r="AU37" s="14"/>
    </row>
    <row r="38" spans="1:47" ht="18" customHeight="1">
      <c r="A38" s="15"/>
      <c r="B38" s="15"/>
      <c r="C38" s="15"/>
      <c r="D38" s="15" t="s">
        <v>391</v>
      </c>
      <c r="E38" s="15" t="s">
        <v>392</v>
      </c>
      <c r="F38" s="26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9"/>
      <c r="V38" s="30"/>
      <c r="W38" s="30"/>
      <c r="X38" s="15"/>
      <c r="Y38" s="15"/>
      <c r="Z38" s="30"/>
      <c r="AA38" s="30"/>
      <c r="AB38" s="30"/>
      <c r="AC38" s="268" t="s">
        <v>393</v>
      </c>
      <c r="AD38" s="15"/>
      <c r="AE38" s="15"/>
      <c r="AF38" s="15"/>
      <c r="AG38" s="15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14"/>
      <c r="AS38" s="14"/>
      <c r="AT38" s="14"/>
      <c r="AU38" s="14"/>
    </row>
    <row r="39" spans="1:47" ht="18" customHeight="1">
      <c r="A39" s="15"/>
      <c r="B39" s="15"/>
      <c r="C39" s="15"/>
      <c r="D39" s="15"/>
      <c r="E39" s="15" t="s">
        <v>394</v>
      </c>
      <c r="F39" s="26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9" t="s">
        <v>395</v>
      </c>
      <c r="V39" s="30"/>
      <c r="W39" s="30"/>
      <c r="X39" s="15"/>
      <c r="Y39" s="15"/>
      <c r="Z39" s="30"/>
      <c r="AA39" s="30"/>
      <c r="AB39" s="30"/>
      <c r="AC39" s="30"/>
      <c r="AD39" s="15"/>
      <c r="AE39" s="15"/>
      <c r="AF39" s="15"/>
      <c r="AG39" s="15"/>
      <c r="AH39" s="269"/>
      <c r="AI39" s="238" t="s">
        <v>396</v>
      </c>
      <c r="AJ39" s="211"/>
      <c r="AK39" s="211"/>
      <c r="AL39" s="38"/>
      <c r="AM39" s="38"/>
      <c r="AN39" s="38"/>
      <c r="AO39" s="38"/>
      <c r="AP39" s="38"/>
      <c r="AQ39" s="38"/>
      <c r="AR39" s="14"/>
      <c r="AS39" s="14"/>
      <c r="AT39" s="14"/>
      <c r="AU39" s="14"/>
    </row>
    <row r="40" spans="1:47" ht="18" customHeight="1">
      <c r="A40" s="15"/>
      <c r="B40" s="15"/>
      <c r="C40" s="15"/>
      <c r="D40" s="15" t="s">
        <v>397</v>
      </c>
      <c r="E40" s="15" t="s">
        <v>398</v>
      </c>
      <c r="F40" s="26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9" t="s">
        <v>399</v>
      </c>
      <c r="T40" s="15"/>
      <c r="U40" s="15"/>
      <c r="V40" s="30"/>
      <c r="W40" s="30"/>
      <c r="X40" s="15"/>
      <c r="Y40" s="15"/>
      <c r="Z40" s="30"/>
      <c r="AA40" s="30"/>
      <c r="AB40" s="30"/>
      <c r="AC40" s="15" t="s">
        <v>400</v>
      </c>
      <c r="AD40" s="15"/>
      <c r="AE40" s="38"/>
      <c r="AF40" s="38"/>
      <c r="AG40" s="38"/>
      <c r="AH40" s="38"/>
      <c r="AI40" s="797" t="s">
        <v>401</v>
      </c>
      <c r="AJ40" s="798" t="s">
        <v>402</v>
      </c>
      <c r="AK40" s="800" t="s">
        <v>403</v>
      </c>
      <c r="AL40" s="270"/>
      <c r="AM40" s="271"/>
      <c r="AN40" s="38"/>
      <c r="AO40" s="38"/>
      <c r="AP40" s="38"/>
      <c r="AQ40" s="38"/>
      <c r="AR40" s="14"/>
      <c r="AS40" s="14"/>
      <c r="AT40" s="14"/>
      <c r="AU40" s="14"/>
    </row>
    <row r="41" spans="1:47" ht="18" customHeight="1">
      <c r="A41" s="15"/>
      <c r="B41" s="15"/>
      <c r="C41" s="15"/>
      <c r="D41" s="15"/>
      <c r="E41" s="15" t="s">
        <v>404</v>
      </c>
      <c r="F41" s="26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9"/>
      <c r="T41" s="15"/>
      <c r="U41" s="15"/>
      <c r="V41" s="30"/>
      <c r="W41" s="272" t="s">
        <v>405</v>
      </c>
      <c r="X41" s="771">
        <v>0</v>
      </c>
      <c r="Y41" s="771"/>
      <c r="Z41" s="30" t="s">
        <v>406</v>
      </c>
      <c r="AA41" s="30"/>
      <c r="AB41" s="30"/>
      <c r="AC41" s="273" t="s">
        <v>407</v>
      </c>
      <c r="AD41" s="233" t="s">
        <v>408</v>
      </c>
      <c r="AE41" s="233" t="s">
        <v>409</v>
      </c>
      <c r="AF41" s="233" t="s">
        <v>410</v>
      </c>
      <c r="AG41" s="228"/>
      <c r="AH41" s="229"/>
      <c r="AI41" s="523"/>
      <c r="AJ41" s="799"/>
      <c r="AK41" s="801"/>
      <c r="AL41" s="274"/>
      <c r="AM41" s="271"/>
      <c r="AN41" s="38"/>
      <c r="AO41" s="38"/>
      <c r="AP41" s="38"/>
      <c r="AQ41" s="38"/>
      <c r="AR41" s="14"/>
      <c r="AS41" s="14"/>
      <c r="AT41" s="14"/>
      <c r="AU41" s="14"/>
    </row>
    <row r="42" spans="1:47" ht="18" customHeight="1">
      <c r="A42" s="15"/>
      <c r="B42" s="15"/>
      <c r="C42" s="15"/>
      <c r="D42" s="15" t="s">
        <v>411</v>
      </c>
      <c r="E42" s="15" t="s">
        <v>412</v>
      </c>
      <c r="F42" s="15"/>
      <c r="G42" s="266"/>
      <c r="H42" s="266"/>
      <c r="I42" s="91"/>
      <c r="J42" s="91"/>
      <c r="K42" s="15"/>
      <c r="L42" s="15"/>
      <c r="M42" s="29"/>
      <c r="N42" s="15"/>
      <c r="O42" s="29"/>
      <c r="P42" s="39"/>
      <c r="Q42" s="15"/>
      <c r="R42" s="15"/>
      <c r="S42" s="15"/>
      <c r="T42" s="15"/>
      <c r="U42" s="15"/>
      <c r="V42" s="30"/>
      <c r="W42" s="272" t="s">
        <v>413</v>
      </c>
      <c r="X42" s="771">
        <v>0</v>
      </c>
      <c r="Y42" s="771"/>
      <c r="Z42" s="30" t="s">
        <v>414</v>
      </c>
      <c r="AA42" s="30"/>
      <c r="AB42" s="30"/>
      <c r="AC42" s="275">
        <f>1.5+4*1-0.5*1^2</f>
        <v>5</v>
      </c>
      <c r="AD42" s="276">
        <f>IF($P$32="あり",1.21*($X$42/$AC$42)^0.12,)</f>
        <v>0</v>
      </c>
      <c r="AE42" s="277">
        <f>IF($P$32="あり",0.95+0.1*1,)</f>
        <v>0</v>
      </c>
      <c r="AF42" s="278">
        <f>IF($P$32="あり",1.5*($X$43+$X$44)^0.64*($X$42-$AC$42)^0.36*(($AD$42-$AE$42)/($AD$42-1)),)</f>
        <v>0</v>
      </c>
      <c r="AG42" s="279"/>
      <c r="AH42" s="220"/>
      <c r="AI42" s="225" t="s">
        <v>415</v>
      </c>
      <c r="AJ42" s="280">
        <v>1</v>
      </c>
      <c r="AK42" s="281" t="s">
        <v>416</v>
      </c>
      <c r="AL42" s="282"/>
      <c r="AM42" s="283"/>
      <c r="AN42" s="38"/>
      <c r="AO42" s="38"/>
      <c r="AP42" s="38"/>
      <c r="AQ42" s="38"/>
      <c r="AR42" s="14"/>
      <c r="AS42" s="14"/>
      <c r="AT42" s="14"/>
      <c r="AU42" s="14"/>
    </row>
    <row r="43" spans="1:47" ht="18" customHeight="1">
      <c r="A43" s="15"/>
      <c r="B43" s="15"/>
      <c r="C43" s="15"/>
      <c r="D43" s="15"/>
      <c r="E43" s="15" t="s">
        <v>417</v>
      </c>
      <c r="F43" s="15"/>
      <c r="G43" s="266"/>
      <c r="H43" s="91"/>
      <c r="I43" s="91"/>
      <c r="J43" s="15"/>
      <c r="K43" s="15"/>
      <c r="L43" s="29"/>
      <c r="M43" s="29"/>
      <c r="N43" s="15"/>
      <c r="O43" s="102"/>
      <c r="P43" s="15"/>
      <c r="Q43" s="15"/>
      <c r="R43" s="15"/>
      <c r="S43" s="15"/>
      <c r="T43" s="15"/>
      <c r="U43" s="30"/>
      <c r="V43" s="30"/>
      <c r="W43" s="15" t="s">
        <v>418</v>
      </c>
      <c r="X43" s="771">
        <v>0</v>
      </c>
      <c r="Y43" s="771"/>
      <c r="Z43" s="30" t="s">
        <v>419</v>
      </c>
      <c r="AA43" s="15"/>
      <c r="AB43" s="30"/>
      <c r="AC43" s="284">
        <f>1.5+4*2-0.5*2^2</f>
        <v>7.5</v>
      </c>
      <c r="AD43" s="276">
        <f>IF($P$32="あり",1.21*($X$42/$AC$43)^0.12,)</f>
        <v>0</v>
      </c>
      <c r="AE43" s="277">
        <f>IF($P$32="あり",0.95+0.1*2,)</f>
        <v>0</v>
      </c>
      <c r="AF43" s="278">
        <f>IF($P$32="あり",1.5*($X$43+$X$44)^0.64*($X$42-$AC$43)^0.36*(($AD$43-$AE$43)/($AD$43-1)),)</f>
        <v>0</v>
      </c>
      <c r="AG43" s="279"/>
      <c r="AH43" s="220"/>
      <c r="AI43" s="98" t="s">
        <v>420</v>
      </c>
      <c r="AJ43" s="285">
        <v>1.1</v>
      </c>
      <c r="AK43" s="286" t="s">
        <v>421</v>
      </c>
      <c r="AL43" s="287"/>
      <c r="AM43" s="283"/>
      <c r="AN43" s="38"/>
      <c r="AO43" s="38"/>
      <c r="AP43" s="38"/>
      <c r="AQ43" s="38"/>
      <c r="AR43" s="14"/>
      <c r="AS43" s="14"/>
      <c r="AT43" s="14"/>
      <c r="AU43" s="14"/>
    </row>
    <row r="44" spans="1:47" ht="18" customHeight="1">
      <c r="A44" s="15"/>
      <c r="B44" s="15"/>
      <c r="C44" s="15"/>
      <c r="D44" s="15"/>
      <c r="E44" s="15"/>
      <c r="F44" s="15"/>
      <c r="G44" s="15"/>
      <c r="H44" s="15"/>
      <c r="I44" s="288"/>
      <c r="J44" s="15"/>
      <c r="K44" s="15"/>
      <c r="L44" s="15"/>
      <c r="M44" s="15"/>
      <c r="N44" s="15"/>
      <c r="O44" s="91"/>
      <c r="P44" s="91"/>
      <c r="Q44" s="15"/>
      <c r="R44" s="15"/>
      <c r="S44" s="15"/>
      <c r="T44" s="15"/>
      <c r="U44" s="19"/>
      <c r="V44" s="15"/>
      <c r="W44" s="15" t="s">
        <v>422</v>
      </c>
      <c r="X44" s="771">
        <v>0</v>
      </c>
      <c r="Y44" s="771"/>
      <c r="Z44" s="30" t="s">
        <v>419</v>
      </c>
      <c r="AA44" s="15"/>
      <c r="AB44" s="15"/>
      <c r="AC44" s="284">
        <f>1.5+4*3-0.5*3^2</f>
        <v>9</v>
      </c>
      <c r="AD44" s="276">
        <f>IF($P$32="あり",1.21*($X$42/$AC$44)^0.12,)</f>
        <v>0</v>
      </c>
      <c r="AE44" s="277">
        <f>IF($P$32="あり",0.95+0.1*3,)</f>
        <v>0</v>
      </c>
      <c r="AF44" s="278">
        <f>IF($P$32="あり",1.5*($X$43+$X$44)^0.64*($X$42-$AC$44)^0.36*(($AD$44-$AE$44)/($AD$44-1)),)</f>
        <v>0</v>
      </c>
      <c r="AG44" s="279"/>
      <c r="AH44" s="220"/>
      <c r="AI44" s="98" t="s">
        <v>423</v>
      </c>
      <c r="AJ44" s="285">
        <v>1.2</v>
      </c>
      <c r="AK44" s="286" t="s">
        <v>424</v>
      </c>
      <c r="AL44" s="287"/>
      <c r="AM44" s="283"/>
      <c r="AN44" s="38"/>
      <c r="AO44" s="38"/>
      <c r="AP44" s="38"/>
      <c r="AQ44" s="38"/>
      <c r="AR44" s="14"/>
      <c r="AS44" s="14"/>
      <c r="AT44" s="14"/>
      <c r="AU44" s="14"/>
    </row>
    <row r="45" spans="1:47" ht="18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9" t="s">
        <v>425</v>
      </c>
      <c r="V45" s="15"/>
      <c r="W45" s="15" t="s">
        <v>426</v>
      </c>
      <c r="X45" s="15"/>
      <c r="Y45" s="15"/>
      <c r="Z45" s="15"/>
      <c r="AA45" s="15"/>
      <c r="AB45" s="15"/>
      <c r="AC45" s="289">
        <f>1.5+4*4-0.5*4^2</f>
        <v>9.5</v>
      </c>
      <c r="AD45" s="290">
        <f>IF($P$32="あり",1.21*($X$42/$AC$45)^0.12,)</f>
        <v>0</v>
      </c>
      <c r="AE45" s="291">
        <f>IF($P$32="あり",0.95+0.1*4,)</f>
        <v>0</v>
      </c>
      <c r="AF45" s="292">
        <f>IF($P$32="あり",1.5*($X$43+$X$44)^0.64*($X$42-$AC$45)^0.36*(($AD$45-$AE$45)/($AD$45-1)),)</f>
        <v>0</v>
      </c>
      <c r="AG45" s="279"/>
      <c r="AH45" s="220"/>
      <c r="AI45" s="108" t="s">
        <v>427</v>
      </c>
      <c r="AJ45" s="257">
        <v>1.3</v>
      </c>
      <c r="AK45" s="151" t="s">
        <v>428</v>
      </c>
      <c r="AL45" s="293"/>
      <c r="AM45" s="283"/>
      <c r="AN45" s="38"/>
      <c r="AO45" s="38"/>
      <c r="AP45" s="38"/>
      <c r="AQ45" s="38"/>
      <c r="AR45" s="14"/>
      <c r="AS45" s="14"/>
      <c r="AT45" s="14"/>
      <c r="AU45" s="14"/>
    </row>
    <row r="46" spans="1:47" ht="18" customHeight="1">
      <c r="A46" s="15"/>
      <c r="B46" s="15"/>
      <c r="C46" s="15"/>
      <c r="D46" s="38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27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14"/>
      <c r="AS46" s="14"/>
      <c r="AT46" s="14"/>
      <c r="AU46" s="14"/>
    </row>
    <row r="47" spans="1:47" ht="18" customHeight="1">
      <c r="A47" s="15"/>
      <c r="B47" s="15"/>
      <c r="C47" s="15"/>
      <c r="D47" s="15"/>
      <c r="E47" s="15"/>
      <c r="F47" s="10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30"/>
      <c r="V47" s="30"/>
      <c r="W47" s="15"/>
      <c r="X47" s="15"/>
      <c r="Y47" s="30"/>
      <c r="Z47" s="30"/>
      <c r="AA47" s="15"/>
      <c r="AB47" s="15"/>
      <c r="AC47" s="15"/>
      <c r="AD47" s="15"/>
      <c r="AE47" s="15"/>
      <c r="AF47" s="15"/>
      <c r="AG47" s="15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14"/>
      <c r="AS47" s="14"/>
      <c r="AT47" s="14"/>
      <c r="AU47" s="14"/>
    </row>
    <row r="48" spans="1:47" ht="18" customHeight="1">
      <c r="A48" s="15"/>
      <c r="B48" s="15"/>
      <c r="C48" s="15"/>
      <c r="D48" s="15"/>
      <c r="E48" s="15"/>
      <c r="F48" s="15"/>
      <c r="G48" s="19"/>
      <c r="H48" s="19"/>
      <c r="I48" s="294"/>
      <c r="J48" s="294"/>
      <c r="K48" s="19"/>
      <c r="L48" s="19"/>
      <c r="M48" s="167"/>
      <c r="N48" s="167"/>
      <c r="O48" s="19"/>
      <c r="P48" s="19"/>
      <c r="Q48" s="19"/>
      <c r="R48" s="19"/>
      <c r="S48" s="15"/>
      <c r="T48" s="15"/>
      <c r="U48" s="19"/>
      <c r="V48" s="20"/>
      <c r="W48" s="20"/>
      <c r="X48" s="15"/>
      <c r="Y48" s="15"/>
      <c r="Z48" s="27"/>
      <c r="AA48" s="27"/>
      <c r="AB48" s="27"/>
      <c r="AC48" s="27"/>
      <c r="AD48" s="27"/>
      <c r="AE48" s="19"/>
      <c r="AF48" s="66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14"/>
      <c r="AS48" s="14"/>
      <c r="AT48" s="14"/>
      <c r="AU48" s="14"/>
    </row>
    <row r="49" spans="1:47" ht="18" customHeight="1">
      <c r="A49" s="15"/>
      <c r="B49" s="15"/>
      <c r="C49" s="15"/>
      <c r="D49" s="15"/>
      <c r="E49" s="15"/>
      <c r="F49" s="15"/>
      <c r="G49" s="19"/>
      <c r="H49" s="19"/>
      <c r="I49" s="19"/>
      <c r="J49" s="161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7"/>
      <c r="AB49" s="27"/>
      <c r="AC49" s="27"/>
      <c r="AD49" s="27"/>
      <c r="AE49" s="15"/>
      <c r="AF49" s="66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14"/>
      <c r="AS49" s="14"/>
      <c r="AT49" s="14"/>
      <c r="AU49" s="14"/>
    </row>
    <row r="50" spans="1:47" ht="18" customHeight="1">
      <c r="A50" s="15"/>
      <c r="B50" s="15"/>
      <c r="C50" s="15" t="s">
        <v>429</v>
      </c>
      <c r="D50" s="15"/>
      <c r="E50" s="15"/>
      <c r="F50" s="15"/>
      <c r="G50" s="15"/>
      <c r="H50" s="570" t="s">
        <v>430</v>
      </c>
      <c r="I50" s="570"/>
      <c r="J50" s="570"/>
      <c r="K50" s="570"/>
      <c r="L50" s="570"/>
      <c r="M50" s="570"/>
      <c r="N50" s="570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38"/>
      <c r="AH50" s="295" t="s">
        <v>431</v>
      </c>
      <c r="AI50" s="296" t="s">
        <v>432</v>
      </c>
      <c r="AJ50" s="296" t="s">
        <v>433</v>
      </c>
      <c r="AK50" s="296" t="s">
        <v>434</v>
      </c>
      <c r="AL50" s="38"/>
      <c r="AM50" s="38"/>
      <c r="AN50" s="38"/>
      <c r="AO50" s="38"/>
      <c r="AP50" s="38"/>
      <c r="AQ50" s="38"/>
      <c r="AR50" s="14"/>
      <c r="AS50" s="14"/>
      <c r="AT50" s="14"/>
      <c r="AU50" s="14"/>
    </row>
    <row r="51" spans="1:47" ht="18" customHeight="1">
      <c r="A51" s="15"/>
      <c r="B51" s="15"/>
      <c r="C51" s="15"/>
      <c r="D51" s="15" t="s">
        <v>435</v>
      </c>
      <c r="E51" s="102" t="s">
        <v>436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60" t="s">
        <v>437</v>
      </c>
      <c r="AI51" s="260" t="s">
        <v>438</v>
      </c>
      <c r="AJ51" s="260" t="s">
        <v>439</v>
      </c>
      <c r="AK51" s="260" t="s">
        <v>440</v>
      </c>
      <c r="AL51" s="38"/>
      <c r="AM51" s="38"/>
      <c r="AN51" s="38"/>
      <c r="AO51" s="38"/>
      <c r="AP51" s="38"/>
      <c r="AQ51" s="38"/>
      <c r="AR51" s="14"/>
      <c r="AS51" s="14"/>
      <c r="AT51" s="14"/>
      <c r="AU51" s="14"/>
    </row>
    <row r="52" spans="1:47" ht="18" customHeight="1">
      <c r="A52" s="15"/>
      <c r="B52" s="15"/>
      <c r="C52" s="15"/>
      <c r="D52" s="135"/>
      <c r="E52" s="102" t="s">
        <v>441</v>
      </c>
      <c r="F52" s="297"/>
      <c r="G52" s="298"/>
      <c r="H52" s="728">
        <v>0.945</v>
      </c>
      <c r="I52" s="728"/>
      <c r="J52" s="582"/>
      <c r="K52" s="19" t="s">
        <v>161</v>
      </c>
      <c r="L52" s="744">
        <f>$G$58</f>
        <v>2</v>
      </c>
      <c r="M52" s="744"/>
      <c r="N52" s="19" t="s">
        <v>161</v>
      </c>
      <c r="O52" s="751">
        <f>$O$61</f>
        <v>0.665</v>
      </c>
      <c r="P52" s="751"/>
      <c r="Q52" s="582"/>
      <c r="R52" s="250" t="s">
        <v>160</v>
      </c>
      <c r="S52" s="744">
        <f>0.11+0.945*$L$52*$O$52</f>
        <v>1.37</v>
      </c>
      <c r="T52" s="744"/>
      <c r="U52" s="135"/>
      <c r="V52" s="66"/>
      <c r="W52" s="66"/>
      <c r="X52" s="15"/>
      <c r="Y52" s="27"/>
      <c r="Z52" s="19"/>
      <c r="AA52" s="29"/>
      <c r="AB52" s="29"/>
      <c r="AC52" s="29"/>
      <c r="AD52" s="29"/>
      <c r="AE52" s="15"/>
      <c r="AF52" s="15"/>
      <c r="AG52" s="15"/>
      <c r="AH52" s="301" t="s">
        <v>430</v>
      </c>
      <c r="AI52" s="302">
        <v>1</v>
      </c>
      <c r="AJ52" s="302">
        <v>2</v>
      </c>
      <c r="AK52" s="87"/>
      <c r="AL52" s="38"/>
      <c r="AM52" s="38"/>
      <c r="AN52" s="38"/>
      <c r="AO52" s="38"/>
      <c r="AP52" s="38"/>
      <c r="AQ52" s="38"/>
      <c r="AR52" s="14"/>
      <c r="AS52" s="14"/>
      <c r="AT52" s="14"/>
      <c r="AU52" s="14"/>
    </row>
    <row r="53" spans="1:47" ht="18" customHeight="1">
      <c r="A53" s="15"/>
      <c r="B53" s="15"/>
      <c r="C53" s="15"/>
      <c r="D53" s="15"/>
      <c r="E53" s="15"/>
      <c r="F53" s="15"/>
      <c r="G53" s="15"/>
      <c r="H53" s="15"/>
      <c r="I53" s="29"/>
      <c r="J53" s="29"/>
      <c r="K53" s="15"/>
      <c r="L53" s="29"/>
      <c r="M53" s="29"/>
      <c r="N53" s="15"/>
      <c r="O53" s="29"/>
      <c r="P53" s="29"/>
      <c r="Q53" s="102"/>
      <c r="R53" s="29"/>
      <c r="S53" s="29"/>
      <c r="T53" s="15"/>
      <c r="U53" s="34"/>
      <c r="V53" s="34"/>
      <c r="W53" s="15"/>
      <c r="X53" s="91"/>
      <c r="Y53" s="15"/>
      <c r="Z53" s="29"/>
      <c r="AA53" s="29"/>
      <c r="AB53" s="29"/>
      <c r="AC53" s="29"/>
      <c r="AD53" s="29"/>
      <c r="AE53" s="15"/>
      <c r="AF53" s="15"/>
      <c r="AG53" s="15"/>
      <c r="AH53" s="98" t="s">
        <v>442</v>
      </c>
      <c r="AI53" s="303">
        <v>0.9</v>
      </c>
      <c r="AJ53" s="303">
        <v>1.87</v>
      </c>
      <c r="AK53" s="98">
        <v>4.5</v>
      </c>
      <c r="AL53" s="38"/>
      <c r="AM53" s="38"/>
      <c r="AN53" s="38"/>
      <c r="AO53" s="38"/>
      <c r="AP53" s="38"/>
      <c r="AQ53" s="38"/>
      <c r="AR53" s="14"/>
      <c r="AS53" s="14"/>
      <c r="AT53" s="14"/>
      <c r="AU53" s="14"/>
    </row>
    <row r="54" spans="1:47" ht="18" customHeight="1">
      <c r="A54" s="15"/>
      <c r="B54" s="15"/>
      <c r="C54" s="15"/>
      <c r="D54" s="15" t="s">
        <v>443</v>
      </c>
      <c r="E54" s="15"/>
      <c r="F54" s="304"/>
      <c r="G54" s="38"/>
      <c r="H54" s="15"/>
      <c r="I54" s="15"/>
      <c r="J54" s="15"/>
      <c r="K54" s="15"/>
      <c r="L54" s="729"/>
      <c r="M54" s="645"/>
      <c r="N54" s="15"/>
      <c r="O54" s="15"/>
      <c r="P54" s="15"/>
      <c r="Q54" s="15"/>
      <c r="R54" s="15"/>
      <c r="S54" s="30"/>
      <c r="T54" s="30"/>
      <c r="U54" s="15"/>
      <c r="V54" s="15"/>
      <c r="W54" s="30"/>
      <c r="X54" s="30"/>
      <c r="Y54" s="30"/>
      <c r="Z54" s="15"/>
      <c r="AA54" s="15"/>
      <c r="AB54" s="15"/>
      <c r="AC54" s="15"/>
      <c r="AD54" s="15"/>
      <c r="AE54" s="29"/>
      <c r="AF54" s="29"/>
      <c r="AG54" s="27"/>
      <c r="AH54" s="98" t="s">
        <v>444</v>
      </c>
      <c r="AI54" s="303">
        <v>0.26</v>
      </c>
      <c r="AJ54" s="303">
        <v>0.44</v>
      </c>
      <c r="AK54" s="98">
        <v>3.5</v>
      </c>
      <c r="AL54" s="38"/>
      <c r="AM54" s="38"/>
      <c r="AN54" s="38"/>
      <c r="AO54" s="38"/>
      <c r="AP54" s="38"/>
      <c r="AQ54" s="38"/>
      <c r="AR54" s="14"/>
      <c r="AS54" s="14"/>
      <c r="AT54" s="14"/>
      <c r="AU54" s="14"/>
    </row>
    <row r="55" spans="1:47" ht="18" customHeight="1">
      <c r="A55" s="15"/>
      <c r="B55" s="15"/>
      <c r="C55" s="15"/>
      <c r="D55" s="15"/>
      <c r="E55" s="15" t="s">
        <v>445</v>
      </c>
      <c r="F55" s="15"/>
      <c r="G55" s="737">
        <f>VLOOKUP($H$50,$AH$52:$AJ$56,2,FALSE)</f>
        <v>1</v>
      </c>
      <c r="H55" s="737"/>
      <c r="I55" s="15" t="s">
        <v>446</v>
      </c>
      <c r="J55" s="15"/>
      <c r="K55" s="15"/>
      <c r="L55" s="15"/>
      <c r="M55" s="15"/>
      <c r="N55" s="30"/>
      <c r="O55" s="30"/>
      <c r="P55" s="15"/>
      <c r="Q55" s="15"/>
      <c r="R55" s="15"/>
      <c r="S55" s="15"/>
      <c r="T55" s="30"/>
      <c r="U55" s="30"/>
      <c r="V55" s="15"/>
      <c r="W55" s="15"/>
      <c r="X55" s="30"/>
      <c r="Y55" s="30"/>
      <c r="Z55" s="15"/>
      <c r="AA55" s="15"/>
      <c r="AB55" s="15"/>
      <c r="AC55" s="15"/>
      <c r="AD55" s="15"/>
      <c r="AE55" s="29"/>
      <c r="AF55" s="29"/>
      <c r="AG55" s="27"/>
      <c r="AH55" s="98" t="s">
        <v>447</v>
      </c>
      <c r="AI55" s="303">
        <v>0.24</v>
      </c>
      <c r="AJ55" s="303">
        <v>0.39</v>
      </c>
      <c r="AK55" s="98">
        <v>2.9</v>
      </c>
      <c r="AL55" s="38"/>
      <c r="AM55" s="38"/>
      <c r="AN55" s="38"/>
      <c r="AO55" s="38"/>
      <c r="AP55" s="38"/>
      <c r="AQ55" s="38"/>
      <c r="AR55" s="14"/>
      <c r="AS55" s="14"/>
      <c r="AT55" s="14"/>
      <c r="AU55" s="14"/>
    </row>
    <row r="56" spans="1:47" ht="18" customHeight="1">
      <c r="A56" s="15"/>
      <c r="B56" s="15"/>
      <c r="C56" s="15"/>
      <c r="D56" s="15"/>
      <c r="E56" s="15">
        <f>IF($G$55&lt;&gt;1,"K　=　1.2 φ/ ( 1 - φ)^2 =","")</f>
      </c>
      <c r="F56" s="15"/>
      <c r="G56" s="15"/>
      <c r="H56" s="15"/>
      <c r="I56" s="91"/>
      <c r="J56" s="91"/>
      <c r="K56" s="15"/>
      <c r="L56" s="752">
        <f>IF($G$55&lt;&gt;1,1.2*$G$55/(1-$G$55)^2,"")</f>
      </c>
      <c r="M56" s="753"/>
      <c r="N56" s="754"/>
      <c r="O56" s="305">
        <f>IF($G$55&lt;&gt;1,IF($L$56&lt;=0.73,"≦","＞"),"")</f>
      </c>
      <c r="P56" s="749">
        <f>IF($G$55&lt;&gt;1,0.73,"")</f>
      </c>
      <c r="Q56" s="750"/>
      <c r="R56" s="15"/>
      <c r="S56" s="15"/>
      <c r="T56" s="15"/>
      <c r="U56" s="30"/>
      <c r="V56" s="30"/>
      <c r="W56" s="15"/>
      <c r="X56" s="15"/>
      <c r="Y56" s="30"/>
      <c r="Z56" s="30"/>
      <c r="AA56" s="15"/>
      <c r="AB56" s="15"/>
      <c r="AC56" s="15"/>
      <c r="AD56" s="15"/>
      <c r="AE56" s="15"/>
      <c r="AF56" s="15"/>
      <c r="AG56" s="15"/>
      <c r="AH56" s="108" t="s">
        <v>448</v>
      </c>
      <c r="AI56" s="306">
        <v>0.11</v>
      </c>
      <c r="AJ56" s="306">
        <v>0.15</v>
      </c>
      <c r="AK56" s="108"/>
      <c r="AL56" s="38"/>
      <c r="AM56" s="38"/>
      <c r="AN56" s="38"/>
      <c r="AO56" s="38"/>
      <c r="AP56" s="38"/>
      <c r="AQ56" s="38"/>
      <c r="AR56" s="14"/>
      <c r="AS56" s="14"/>
      <c r="AT56" s="14"/>
      <c r="AU56" s="14"/>
    </row>
    <row r="57" spans="1:47" ht="18" customHeight="1">
      <c r="A57" s="15"/>
      <c r="B57" s="30"/>
      <c r="C57" s="30"/>
      <c r="D57" s="30"/>
      <c r="E57" s="30"/>
      <c r="F57" s="15" t="str">
        <f>IF($AH$60="A",$AH$61,IF($AH$60="B",$AH$62,IF($AH$60="C",$AH$63,"error")))</f>
        <v>φ= 1　なので</v>
      </c>
      <c r="G57" s="15"/>
      <c r="H57" s="15"/>
      <c r="I57" s="30"/>
      <c r="J57" s="30"/>
      <c r="K57" s="15"/>
      <c r="L57" s="15"/>
      <c r="M57" s="15">
        <f>IF($AH$60="A","",IF($AH$60="B",$AJ$62,IF($AH$60="C",$AJ$63,"error")))</f>
      </c>
      <c r="N57" s="15"/>
      <c r="O57" s="15"/>
      <c r="P57" s="15"/>
      <c r="Q57" s="91"/>
      <c r="R57" s="91"/>
      <c r="S57" s="15"/>
      <c r="T57" s="30"/>
      <c r="U57" s="30"/>
      <c r="V57" s="305"/>
      <c r="W57" s="30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9"/>
      <c r="AI57" s="307"/>
      <c r="AJ57" s="307"/>
      <c r="AK57" s="19"/>
      <c r="AL57" s="38"/>
      <c r="AM57" s="38"/>
      <c r="AN57" s="38"/>
      <c r="AO57" s="38"/>
      <c r="AP57" s="38"/>
      <c r="AQ57" s="38"/>
      <c r="AR57" s="14"/>
      <c r="AS57" s="14"/>
      <c r="AT57" s="14"/>
      <c r="AU57" s="14"/>
    </row>
    <row r="58" spans="1:47" ht="18" customHeight="1">
      <c r="A58" s="15"/>
      <c r="B58" s="15"/>
      <c r="C58" s="15"/>
      <c r="D58" s="15"/>
      <c r="E58" s="15" t="s">
        <v>449</v>
      </c>
      <c r="F58" s="15"/>
      <c r="G58" s="729">
        <f>IF($G$55&lt;&gt;1,IF($L$56&lt;=0.73,$L$56/(1+$L$56/4)^2,2.8*LOG10($L$56+0.6-SQRT(1.2*$L$56+0.36))-2.8*LOG10($L$56)+2),2)</f>
        <v>2</v>
      </c>
      <c r="H58" s="64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38" t="s">
        <v>450</v>
      </c>
      <c r="AI58" s="38"/>
      <c r="AJ58" s="38"/>
      <c r="AK58" s="19"/>
      <c r="AL58" s="38"/>
      <c r="AM58" s="38"/>
      <c r="AN58" s="38"/>
      <c r="AO58" s="38"/>
      <c r="AP58" s="38"/>
      <c r="AQ58" s="38"/>
      <c r="AR58" s="14"/>
      <c r="AS58" s="14"/>
      <c r="AT58" s="14"/>
      <c r="AU58" s="14"/>
    </row>
    <row r="59" spans="1:47" ht="18" customHeight="1">
      <c r="A59" s="15"/>
      <c r="B59" s="15"/>
      <c r="C59" s="15"/>
      <c r="D59" s="15"/>
      <c r="E59" s="15"/>
      <c r="F59" s="15"/>
      <c r="G59" s="15"/>
      <c r="H59" s="15"/>
      <c r="I59" s="91"/>
      <c r="J59" s="91"/>
      <c r="K59" s="15"/>
      <c r="L59" s="308"/>
      <c r="M59" s="15"/>
      <c r="N59" s="15"/>
      <c r="O59" s="64"/>
      <c r="P59" s="162"/>
      <c r="Q59" s="15"/>
      <c r="R59" s="15"/>
      <c r="S59" s="15"/>
      <c r="T59" s="263"/>
      <c r="U59" s="263"/>
      <c r="V59" s="15"/>
      <c r="W59" s="15"/>
      <c r="X59" s="15"/>
      <c r="Y59" s="15"/>
      <c r="Z59" s="15"/>
      <c r="AA59" s="15"/>
      <c r="AB59" s="15"/>
      <c r="AC59" s="15"/>
      <c r="AD59" s="15"/>
      <c r="AE59" s="19"/>
      <c r="AF59" s="307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14"/>
      <c r="AS59" s="14"/>
      <c r="AT59" s="14"/>
      <c r="AU59" s="14"/>
    </row>
    <row r="60" spans="1:47" ht="18" customHeight="1">
      <c r="A60" s="15"/>
      <c r="B60" s="15"/>
      <c r="C60" s="15"/>
      <c r="D60" s="15" t="s">
        <v>451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38"/>
      <c r="AH60" s="729" t="str">
        <f>IF($G$55&lt;&gt;1,IF($L$56&lt;=0.73,"B","C"),"A")</f>
        <v>A</v>
      </c>
      <c r="AI60" s="750"/>
      <c r="AJ60" s="38"/>
      <c r="AK60" s="38"/>
      <c r="AL60" s="38"/>
      <c r="AM60" s="38"/>
      <c r="AN60" s="38"/>
      <c r="AO60" s="38"/>
      <c r="AP60" s="38"/>
      <c r="AQ60" s="38"/>
      <c r="AR60" s="14"/>
      <c r="AS60" s="14"/>
      <c r="AT60" s="14"/>
      <c r="AU60" s="14"/>
    </row>
    <row r="61" spans="1:47" ht="18" customHeight="1">
      <c r="A61" s="15"/>
      <c r="B61" s="15"/>
      <c r="C61" s="15"/>
      <c r="D61" s="15"/>
      <c r="E61" s="15" t="s">
        <v>452</v>
      </c>
      <c r="F61" s="102"/>
      <c r="G61" s="102"/>
      <c r="H61" s="15"/>
      <c r="I61" s="309"/>
      <c r="J61" s="309"/>
      <c r="K61" s="15"/>
      <c r="L61" s="34"/>
      <c r="M61" s="34"/>
      <c r="N61" s="15"/>
      <c r="O61" s="776">
        <f>0.5813+0.013*$I$63-0.0001*$I$63^2</f>
        <v>0.665</v>
      </c>
      <c r="P61" s="777"/>
      <c r="Q61" s="777"/>
      <c r="R61" s="30"/>
      <c r="S61" s="34"/>
      <c r="T61" s="28"/>
      <c r="U61" s="15"/>
      <c r="V61" s="30"/>
      <c r="W61" s="15"/>
      <c r="X61" s="15"/>
      <c r="Y61" s="30"/>
      <c r="Z61" s="30"/>
      <c r="AA61" s="15"/>
      <c r="AB61" s="15"/>
      <c r="AC61" s="15"/>
      <c r="AD61" s="15"/>
      <c r="AE61" s="15"/>
      <c r="AF61" s="15"/>
      <c r="AG61" s="38"/>
      <c r="AH61" s="310" t="s">
        <v>453</v>
      </c>
      <c r="AI61" s="260" t="s">
        <v>454</v>
      </c>
      <c r="AJ61" s="311" t="s">
        <v>455</v>
      </c>
      <c r="AK61" s="312"/>
      <c r="AL61" s="313"/>
      <c r="AM61" s="36"/>
      <c r="AN61" s="36"/>
      <c r="AO61" s="36"/>
      <c r="AP61" s="38"/>
      <c r="AQ61" s="38"/>
      <c r="AR61" s="14"/>
      <c r="AS61" s="14"/>
      <c r="AT61" s="14"/>
      <c r="AU61" s="14"/>
    </row>
    <row r="62" spans="1:47" ht="18" customHeight="1">
      <c r="A62" s="15"/>
      <c r="B62" s="15"/>
      <c r="C62" s="15"/>
      <c r="D62" s="15" t="s">
        <v>456</v>
      </c>
      <c r="E62" s="102"/>
      <c r="F62" s="102"/>
      <c r="G62" s="102"/>
      <c r="H62" s="15"/>
      <c r="I62" s="15"/>
      <c r="J62" s="15"/>
      <c r="K62" s="15"/>
      <c r="L62" s="91"/>
      <c r="M62" s="91"/>
      <c r="N62" s="15"/>
      <c r="O62" s="34"/>
      <c r="P62" s="34"/>
      <c r="Q62" s="102"/>
      <c r="R62" s="28"/>
      <c r="S62" s="28"/>
      <c r="T62" s="15"/>
      <c r="U62" s="30"/>
      <c r="V62" s="30"/>
      <c r="W62" s="15"/>
      <c r="X62" s="15"/>
      <c r="Y62" s="30"/>
      <c r="Z62" s="30"/>
      <c r="AA62" s="15"/>
      <c r="AB62" s="15"/>
      <c r="AC62" s="15"/>
      <c r="AD62" s="15"/>
      <c r="AE62" s="15"/>
      <c r="AF62" s="38"/>
      <c r="AG62" s="38"/>
      <c r="AH62" s="310" t="s">
        <v>457</v>
      </c>
      <c r="AI62" s="260" t="s">
        <v>458</v>
      </c>
      <c r="AJ62" s="311" t="s">
        <v>459</v>
      </c>
      <c r="AK62" s="312"/>
      <c r="AL62" s="313"/>
      <c r="AM62" s="36"/>
      <c r="AN62" s="36"/>
      <c r="AO62" s="36"/>
      <c r="AP62" s="38"/>
      <c r="AQ62" s="38"/>
      <c r="AR62" s="14"/>
      <c r="AS62" s="14"/>
      <c r="AT62" s="14"/>
      <c r="AU62" s="14"/>
    </row>
    <row r="63" spans="1:47" ht="18" customHeight="1">
      <c r="A63" s="15"/>
      <c r="B63" s="15"/>
      <c r="C63" s="15"/>
      <c r="D63" s="15"/>
      <c r="E63" s="15" t="s">
        <v>460</v>
      </c>
      <c r="F63" s="15"/>
      <c r="G63" s="15"/>
      <c r="H63" s="15"/>
      <c r="I63" s="736">
        <f>$K$64/$T$64</f>
        <v>6.8</v>
      </c>
      <c r="J63" s="73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38"/>
      <c r="AG63" s="38"/>
      <c r="AH63" s="310" t="s">
        <v>461</v>
      </c>
      <c r="AI63" s="260" t="s">
        <v>462</v>
      </c>
      <c r="AJ63" s="314" t="s">
        <v>463</v>
      </c>
      <c r="AK63" s="312"/>
      <c r="AL63" s="313"/>
      <c r="AM63" s="36"/>
      <c r="AN63" s="36"/>
      <c r="AO63" s="36"/>
      <c r="AP63" s="38"/>
      <c r="AQ63" s="38"/>
      <c r="AR63" s="14"/>
      <c r="AS63" s="14"/>
      <c r="AT63" s="14"/>
      <c r="AU63" s="14"/>
    </row>
    <row r="64" spans="1:47" ht="18" customHeight="1">
      <c r="A64" s="15"/>
      <c r="B64" s="15"/>
      <c r="C64" s="102"/>
      <c r="D64" s="15"/>
      <c r="E64" s="15"/>
      <c r="F64" s="15"/>
      <c r="G64" s="15" t="s">
        <v>464</v>
      </c>
      <c r="H64" s="15"/>
      <c r="I64" s="15"/>
      <c r="J64" s="29"/>
      <c r="K64" s="681">
        <v>9</v>
      </c>
      <c r="L64" s="738"/>
      <c r="M64" s="739"/>
      <c r="N64" s="15" t="s">
        <v>465</v>
      </c>
      <c r="O64" s="15"/>
      <c r="P64" s="15"/>
      <c r="Q64" s="15" t="s">
        <v>466</v>
      </c>
      <c r="R64" s="15"/>
      <c r="S64" s="15"/>
      <c r="T64" s="779">
        <f>$E$14/1000*2/3</f>
        <v>1.333</v>
      </c>
      <c r="U64" s="780"/>
      <c r="V64" s="590"/>
      <c r="W64" s="15" t="s">
        <v>467</v>
      </c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38"/>
      <c r="AI64" s="38"/>
      <c r="AJ64" s="38"/>
      <c r="AK64" s="38"/>
      <c r="AL64" s="38"/>
      <c r="AM64" s="36"/>
      <c r="AN64" s="36"/>
      <c r="AO64" s="36"/>
      <c r="AP64" s="38"/>
      <c r="AQ64" s="38"/>
      <c r="AR64" s="14"/>
      <c r="AS64" s="14"/>
      <c r="AT64" s="14"/>
      <c r="AU64" s="14"/>
    </row>
    <row r="65" spans="1:47" ht="18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92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38"/>
      <c r="AI65" s="38"/>
      <c r="AJ65" s="38"/>
      <c r="AK65" s="38"/>
      <c r="AL65" s="38"/>
      <c r="AM65" s="36"/>
      <c r="AN65" s="36"/>
      <c r="AO65" s="36"/>
      <c r="AP65" s="38"/>
      <c r="AQ65" s="38"/>
      <c r="AR65" s="14"/>
      <c r="AS65" s="14"/>
      <c r="AT65" s="14"/>
      <c r="AU65" s="14"/>
    </row>
    <row r="66" spans="1:47" ht="18" customHeight="1">
      <c r="A66" s="15"/>
      <c r="B66" s="15"/>
      <c r="C66" s="15"/>
      <c r="D66" s="15"/>
      <c r="E66" s="15"/>
      <c r="F66" s="15"/>
      <c r="G66" s="15"/>
      <c r="H66" s="15"/>
      <c r="I66" s="91"/>
      <c r="J66" s="91"/>
      <c r="K66" s="15"/>
      <c r="L66" s="91"/>
      <c r="M66" s="29"/>
      <c r="N66" s="29"/>
      <c r="O66" s="102"/>
      <c r="P66" s="15"/>
      <c r="Q66" s="15"/>
      <c r="R66" s="15"/>
      <c r="S66" s="15"/>
      <c r="T66" s="15"/>
      <c r="U66" s="30"/>
      <c r="V66" s="30"/>
      <c r="W66" s="15"/>
      <c r="X66" s="15"/>
      <c r="Y66" s="30"/>
      <c r="Z66" s="30"/>
      <c r="AA66" s="15"/>
      <c r="AB66" s="15"/>
      <c r="AC66" s="15"/>
      <c r="AD66" s="15"/>
      <c r="AE66" s="15"/>
      <c r="AF66" s="15"/>
      <c r="AG66" s="38"/>
      <c r="AH66" s="38"/>
      <c r="AI66" s="38"/>
      <c r="AJ66" s="38"/>
      <c r="AK66" s="38"/>
      <c r="AL66" s="38"/>
      <c r="AM66" s="36"/>
      <c r="AN66" s="36"/>
      <c r="AO66" s="36"/>
      <c r="AP66" s="38"/>
      <c r="AQ66" s="38"/>
      <c r="AR66" s="14"/>
      <c r="AS66" s="14"/>
      <c r="AT66" s="14"/>
      <c r="AU66" s="14"/>
    </row>
    <row r="67" spans="1:47" ht="18" customHeight="1">
      <c r="A67" s="15"/>
      <c r="B67" s="15"/>
      <c r="C67" s="15" t="s">
        <v>468</v>
      </c>
      <c r="D67" s="15"/>
      <c r="E67" s="15"/>
      <c r="F67" s="15"/>
      <c r="G67" s="15"/>
      <c r="H67" s="570" t="s">
        <v>447</v>
      </c>
      <c r="I67" s="570"/>
      <c r="J67" s="570"/>
      <c r="K67" s="570"/>
      <c r="L67" s="570"/>
      <c r="M67" s="570"/>
      <c r="N67" s="570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66"/>
      <c r="AG67" s="38"/>
      <c r="AH67" s="38"/>
      <c r="AI67" s="38"/>
      <c r="AJ67" s="38"/>
      <c r="AK67" s="38"/>
      <c r="AL67" s="38"/>
      <c r="AM67" s="36"/>
      <c r="AN67" s="36"/>
      <c r="AO67" s="36"/>
      <c r="AP67" s="38"/>
      <c r="AQ67" s="38"/>
      <c r="AR67" s="14"/>
      <c r="AS67" s="14"/>
      <c r="AT67" s="14"/>
      <c r="AU67" s="14"/>
    </row>
    <row r="68" spans="1:47" ht="18" customHeight="1">
      <c r="A68" s="15"/>
      <c r="B68" s="15"/>
      <c r="C68" s="15"/>
      <c r="D68" s="15" t="s">
        <v>469</v>
      </c>
      <c r="E68" s="102" t="s">
        <v>470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66"/>
      <c r="AG68" s="38"/>
      <c r="AH68" s="38"/>
      <c r="AI68" s="38"/>
      <c r="AJ68" s="38"/>
      <c r="AK68" s="38"/>
      <c r="AL68" s="38"/>
      <c r="AM68" s="36"/>
      <c r="AN68" s="36"/>
      <c r="AO68" s="36"/>
      <c r="AP68" s="38"/>
      <c r="AQ68" s="38"/>
      <c r="AR68" s="14"/>
      <c r="AS68" s="14"/>
      <c r="AT68" s="14"/>
      <c r="AU68" s="14"/>
    </row>
    <row r="69" spans="1:47" ht="18" customHeight="1">
      <c r="A69" s="15"/>
      <c r="B69" s="15"/>
      <c r="C69" s="15"/>
      <c r="D69" s="135"/>
      <c r="E69" s="102" t="s">
        <v>471</v>
      </c>
      <c r="F69" s="297"/>
      <c r="G69" s="298"/>
      <c r="H69" s="728">
        <v>0.945</v>
      </c>
      <c r="I69" s="728"/>
      <c r="J69" s="582"/>
      <c r="K69" s="19" t="s">
        <v>161</v>
      </c>
      <c r="L69" s="744">
        <f>$G$75</f>
        <v>0.39</v>
      </c>
      <c r="M69" s="744"/>
      <c r="N69" s="19" t="s">
        <v>161</v>
      </c>
      <c r="O69" s="751">
        <f>$O$61</f>
        <v>0.665</v>
      </c>
      <c r="P69" s="751"/>
      <c r="Q69" s="582"/>
      <c r="R69" s="250" t="s">
        <v>160</v>
      </c>
      <c r="S69" s="744">
        <f>0.11+0.945*$L$69*$O$69</f>
        <v>0.36</v>
      </c>
      <c r="T69" s="744"/>
      <c r="U69" s="135"/>
      <c r="V69" s="66"/>
      <c r="W69" s="66"/>
      <c r="X69" s="15"/>
      <c r="Y69" s="27"/>
      <c r="Z69" s="19"/>
      <c r="AA69" s="29"/>
      <c r="AB69" s="29"/>
      <c r="AC69" s="29"/>
      <c r="AD69" s="29"/>
      <c r="AE69" s="15"/>
      <c r="AF69" s="66"/>
      <c r="AG69" s="38"/>
      <c r="AH69" s="729" t="str">
        <f>IF($G$72&lt;&gt;1,IF($L$73&lt;=0.73,"B","C"),"A")</f>
        <v>B</v>
      </c>
      <c r="AI69" s="750"/>
      <c r="AJ69" s="38"/>
      <c r="AK69" s="38"/>
      <c r="AL69" s="38"/>
      <c r="AM69" s="36"/>
      <c r="AN69" s="36"/>
      <c r="AO69" s="36"/>
      <c r="AP69" s="38"/>
      <c r="AQ69" s="38"/>
      <c r="AR69" s="14"/>
      <c r="AS69" s="14"/>
      <c r="AT69" s="14"/>
      <c r="AU69" s="14"/>
    </row>
    <row r="70" spans="1:47" ht="18" customHeight="1">
      <c r="A70" s="15"/>
      <c r="B70" s="15"/>
      <c r="C70" s="15"/>
      <c r="D70" s="15"/>
      <c r="E70" s="15"/>
      <c r="F70" s="15"/>
      <c r="G70" s="15"/>
      <c r="H70" s="15"/>
      <c r="I70" s="29"/>
      <c r="J70" s="29"/>
      <c r="K70" s="15"/>
      <c r="L70" s="29"/>
      <c r="M70" s="29"/>
      <c r="N70" s="15"/>
      <c r="O70" s="29"/>
      <c r="P70" s="29"/>
      <c r="Q70" s="102"/>
      <c r="R70" s="29"/>
      <c r="S70" s="29"/>
      <c r="T70" s="15"/>
      <c r="U70" s="34"/>
      <c r="V70" s="34"/>
      <c r="W70" s="15"/>
      <c r="X70" s="91"/>
      <c r="Y70" s="15"/>
      <c r="Z70" s="29"/>
      <c r="AA70" s="29"/>
      <c r="AB70" s="29"/>
      <c r="AC70" s="29"/>
      <c r="AD70" s="29"/>
      <c r="AE70" s="15"/>
      <c r="AF70" s="66"/>
      <c r="AG70" s="38"/>
      <c r="AH70" s="310" t="s">
        <v>472</v>
      </c>
      <c r="AI70" s="260" t="s">
        <v>473</v>
      </c>
      <c r="AJ70" s="311" t="s">
        <v>474</v>
      </c>
      <c r="AK70" s="312"/>
      <c r="AL70" s="313"/>
      <c r="AM70" s="36"/>
      <c r="AN70" s="36"/>
      <c r="AO70" s="36"/>
      <c r="AP70" s="38"/>
      <c r="AQ70" s="38"/>
      <c r="AR70" s="14"/>
      <c r="AS70" s="14"/>
      <c r="AT70" s="14"/>
      <c r="AU70" s="14"/>
    </row>
    <row r="71" spans="1:47" ht="18" customHeight="1">
      <c r="A71" s="15"/>
      <c r="B71" s="15"/>
      <c r="C71" s="15"/>
      <c r="D71" s="15" t="s">
        <v>443</v>
      </c>
      <c r="E71" s="15"/>
      <c r="F71" s="304"/>
      <c r="G71" s="38"/>
      <c r="H71" s="15"/>
      <c r="I71" s="15"/>
      <c r="J71" s="15"/>
      <c r="K71" s="15"/>
      <c r="L71" s="729"/>
      <c r="M71" s="645"/>
      <c r="N71" s="15"/>
      <c r="O71" s="15"/>
      <c r="P71" s="15"/>
      <c r="Q71" s="15"/>
      <c r="R71" s="15"/>
      <c r="S71" s="30"/>
      <c r="T71" s="30"/>
      <c r="U71" s="15"/>
      <c r="V71" s="15"/>
      <c r="W71" s="30"/>
      <c r="X71" s="30"/>
      <c r="Y71" s="30"/>
      <c r="Z71" s="15"/>
      <c r="AA71" s="15"/>
      <c r="AB71" s="15"/>
      <c r="AC71" s="15"/>
      <c r="AD71" s="15"/>
      <c r="AE71" s="66"/>
      <c r="AF71" s="38"/>
      <c r="AG71" s="38"/>
      <c r="AH71" s="310" t="s">
        <v>475</v>
      </c>
      <c r="AI71" s="260" t="s">
        <v>476</v>
      </c>
      <c r="AJ71" s="311" t="s">
        <v>477</v>
      </c>
      <c r="AK71" s="312"/>
      <c r="AL71" s="313"/>
      <c r="AM71" s="36"/>
      <c r="AN71" s="36"/>
      <c r="AO71" s="36"/>
      <c r="AP71" s="38"/>
      <c r="AQ71" s="38"/>
      <c r="AR71" s="14"/>
      <c r="AS71" s="14"/>
      <c r="AT71" s="14"/>
      <c r="AU71" s="14"/>
    </row>
    <row r="72" spans="1:47" ht="18" customHeight="1">
      <c r="A72" s="15"/>
      <c r="B72" s="15"/>
      <c r="C72" s="15"/>
      <c r="D72" s="15"/>
      <c r="E72" s="15" t="s">
        <v>478</v>
      </c>
      <c r="F72" s="15"/>
      <c r="G72" s="737">
        <f>VLOOKUP($H$67,$AH$52:$AJ$56,2,FALSE)</f>
        <v>0.24</v>
      </c>
      <c r="H72" s="737"/>
      <c r="I72" s="15" t="s">
        <v>446</v>
      </c>
      <c r="J72" s="15"/>
      <c r="K72" s="15"/>
      <c r="L72" s="15"/>
      <c r="M72" s="15"/>
      <c r="N72" s="30"/>
      <c r="O72" s="30"/>
      <c r="P72" s="15"/>
      <c r="Q72" s="15"/>
      <c r="R72" s="15"/>
      <c r="S72" s="15"/>
      <c r="T72" s="30"/>
      <c r="U72" s="30"/>
      <c r="V72" s="15"/>
      <c r="W72" s="15"/>
      <c r="X72" s="30"/>
      <c r="Y72" s="30"/>
      <c r="Z72" s="15"/>
      <c r="AA72" s="15"/>
      <c r="AB72" s="15"/>
      <c r="AC72" s="15"/>
      <c r="AD72" s="15"/>
      <c r="AE72" s="15"/>
      <c r="AF72" s="66"/>
      <c r="AG72" s="38"/>
      <c r="AH72" s="310" t="s">
        <v>479</v>
      </c>
      <c r="AI72" s="260" t="s">
        <v>480</v>
      </c>
      <c r="AJ72" s="314" t="s">
        <v>481</v>
      </c>
      <c r="AK72" s="312"/>
      <c r="AL72" s="313"/>
      <c r="AM72" s="36"/>
      <c r="AN72" s="36"/>
      <c r="AO72" s="36"/>
      <c r="AP72" s="38"/>
      <c r="AQ72" s="38"/>
      <c r="AR72" s="14"/>
      <c r="AS72" s="14"/>
      <c r="AT72" s="14"/>
      <c r="AU72" s="14"/>
    </row>
    <row r="73" spans="1:47" ht="18" customHeight="1">
      <c r="A73" s="15"/>
      <c r="B73" s="15"/>
      <c r="C73" s="15"/>
      <c r="D73" s="15"/>
      <c r="E73" s="15" t="str">
        <f>IF($G$72&lt;&gt;1,"K =　1.2 φ/ ( 1 - φ)^2 =","")</f>
        <v>K =　1.2 φ/ ( 1 - φ)^2 =</v>
      </c>
      <c r="F73" s="15"/>
      <c r="G73" s="15"/>
      <c r="H73" s="15"/>
      <c r="I73" s="91"/>
      <c r="J73" s="91"/>
      <c r="K73" s="15"/>
      <c r="L73" s="752">
        <f>IF($G$72&lt;&gt;1,1.2*$G$72/(1-$G$72)^2,"")</f>
        <v>0.499</v>
      </c>
      <c r="M73" s="753"/>
      <c r="N73" s="754"/>
      <c r="O73" s="305" t="str">
        <f>IF($G$72&lt;&gt;1,IF($L$73&lt;=0.73,"≦","＞"),"")</f>
        <v>≦</v>
      </c>
      <c r="P73" s="749">
        <f>IF($G$72&lt;&gt;1,0.73,"")</f>
        <v>0.73</v>
      </c>
      <c r="Q73" s="750"/>
      <c r="R73" s="15"/>
      <c r="S73" s="15"/>
      <c r="T73" s="15"/>
      <c r="U73" s="30"/>
      <c r="V73" s="30"/>
      <c r="W73" s="15"/>
      <c r="X73" s="15"/>
      <c r="Y73" s="30"/>
      <c r="Z73" s="30"/>
      <c r="AA73" s="15"/>
      <c r="AB73" s="15"/>
      <c r="AC73" s="15"/>
      <c r="AD73" s="15"/>
      <c r="AE73" s="15"/>
      <c r="AF73" s="66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14"/>
      <c r="AS73" s="14"/>
      <c r="AT73" s="14"/>
      <c r="AU73" s="14"/>
    </row>
    <row r="74" spans="1:47" ht="18" customHeight="1">
      <c r="A74" s="15"/>
      <c r="B74" s="30"/>
      <c r="C74" s="30"/>
      <c r="D74" s="30"/>
      <c r="E74" s="30"/>
      <c r="F74" s="15" t="str">
        <f>IF($AH$69="A",$AH$70,IF($AH$69="B",$AH$71,IF($AH$69="C",$AH$72,"error")))</f>
        <v>φ≠1,  K≦0.73 なので</v>
      </c>
      <c r="G74" s="15"/>
      <c r="H74" s="15"/>
      <c r="I74" s="30"/>
      <c r="J74" s="30"/>
      <c r="K74" s="15"/>
      <c r="L74" s="15"/>
      <c r="M74" s="15" t="str">
        <f>IF($AH$69="A","",IF($AH$69="B",$AJ$71,IF($AH$69="C",$AJ$72,"error")))</f>
        <v>C0 = K /　SQRT( 1 + K/4 )</v>
      </c>
      <c r="N74" s="15"/>
      <c r="O74" s="15"/>
      <c r="P74" s="15"/>
      <c r="Q74" s="91"/>
      <c r="R74" s="91"/>
      <c r="S74" s="15"/>
      <c r="T74" s="30"/>
      <c r="U74" s="30"/>
      <c r="V74" s="305"/>
      <c r="W74" s="30"/>
      <c r="X74" s="15"/>
      <c r="Y74" s="15"/>
      <c r="Z74" s="15"/>
      <c r="AA74" s="15"/>
      <c r="AB74" s="15"/>
      <c r="AC74" s="15"/>
      <c r="AD74" s="15"/>
      <c r="AE74" s="15"/>
      <c r="AF74" s="66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14"/>
      <c r="AS74" s="14"/>
      <c r="AT74" s="14"/>
      <c r="AU74" s="14"/>
    </row>
    <row r="75" spans="1:47" ht="18" customHeight="1">
      <c r="A75" s="15"/>
      <c r="B75" s="15"/>
      <c r="C75" s="15"/>
      <c r="D75" s="15"/>
      <c r="E75" s="15" t="s">
        <v>482</v>
      </c>
      <c r="F75" s="15"/>
      <c r="G75" s="729">
        <f>IF($G$72&lt;&gt;1,IF($L$73&lt;=0.73,$L$73/(1+$L$73/4)^2,2.8*LOG10($L$73+0.6-SQRT(1.2*$L$73+0.36))-2.8*LOG10($L$73)+2),2)</f>
        <v>0.39</v>
      </c>
      <c r="H75" s="64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66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14"/>
      <c r="AS75" s="14"/>
      <c r="AT75" s="14"/>
      <c r="AU75" s="14"/>
    </row>
    <row r="76" spans="1:47" ht="18" customHeight="1">
      <c r="A76" s="15"/>
      <c r="B76" s="15"/>
      <c r="C76" s="102"/>
      <c r="D76" s="15"/>
      <c r="E76" s="15"/>
      <c r="F76" s="15"/>
      <c r="G76" s="15"/>
      <c r="H76" s="15"/>
      <c r="I76" s="15"/>
      <c r="J76" s="29"/>
      <c r="K76" s="317"/>
      <c r="L76" s="318"/>
      <c r="M76" s="170"/>
      <c r="N76" s="15"/>
      <c r="O76" s="15"/>
      <c r="P76" s="15"/>
      <c r="Q76" s="15"/>
      <c r="R76" s="15"/>
      <c r="S76" s="15"/>
      <c r="T76" s="15"/>
      <c r="U76" s="315"/>
      <c r="V76" s="316"/>
      <c r="W76" s="163"/>
      <c r="X76" s="15"/>
      <c r="Y76" s="15"/>
      <c r="Z76" s="15"/>
      <c r="AA76" s="15"/>
      <c r="AB76" s="15"/>
      <c r="AC76" s="15"/>
      <c r="AD76" s="15"/>
      <c r="AE76" s="15"/>
      <c r="AF76" s="66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14"/>
      <c r="AS76" s="14"/>
      <c r="AT76" s="14"/>
      <c r="AU76" s="14"/>
    </row>
    <row r="77" spans="1:47" ht="18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92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66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14"/>
      <c r="AS77" s="14"/>
      <c r="AT77" s="14"/>
      <c r="AU77" s="14"/>
    </row>
    <row r="78" spans="1:47" ht="18" customHeight="1">
      <c r="A78" s="15"/>
      <c r="B78" s="15"/>
      <c r="C78" s="15" t="s">
        <v>658</v>
      </c>
      <c r="D78" s="15"/>
      <c r="E78" s="15"/>
      <c r="F78" s="15"/>
      <c r="G78" s="15"/>
      <c r="H78" s="15"/>
      <c r="I78" s="29"/>
      <c r="J78" s="29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66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14"/>
      <c r="AS78" s="14"/>
      <c r="AT78" s="14"/>
      <c r="AU78" s="14"/>
    </row>
    <row r="79" spans="1:47" ht="18" customHeight="1">
      <c r="A79" s="15"/>
      <c r="B79" s="15"/>
      <c r="C79" s="102"/>
      <c r="D79" s="15" t="s">
        <v>659</v>
      </c>
      <c r="E79" s="15"/>
      <c r="F79" s="15"/>
      <c r="G79" s="15"/>
      <c r="H79" s="15"/>
      <c r="I79" s="15"/>
      <c r="J79" s="605">
        <v>0.615</v>
      </c>
      <c r="K79" s="605"/>
      <c r="L79" s="19" t="s">
        <v>161</v>
      </c>
      <c r="M79" s="768">
        <f>$U$28</f>
        <v>18.8</v>
      </c>
      <c r="N79" s="769"/>
      <c r="O79" s="319" t="s">
        <v>483</v>
      </c>
      <c r="P79" s="19" t="s">
        <v>161</v>
      </c>
      <c r="Q79" s="744">
        <f>$S$52</f>
        <v>1.37</v>
      </c>
      <c r="R79" s="572"/>
      <c r="S79" s="256" t="s">
        <v>484</v>
      </c>
      <c r="T79" s="742">
        <f>$J$79*$M$79^2*$Q$79</f>
        <v>298</v>
      </c>
      <c r="U79" s="742"/>
      <c r="V79" s="15" t="s">
        <v>485</v>
      </c>
      <c r="W79" s="15"/>
      <c r="X79" s="15"/>
      <c r="Y79" s="15"/>
      <c r="Z79" s="15"/>
      <c r="AA79" s="15"/>
      <c r="AB79" s="15"/>
      <c r="AC79" s="15"/>
      <c r="AD79" s="15"/>
      <c r="AE79" s="15"/>
      <c r="AF79" s="66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14"/>
      <c r="AS79" s="14"/>
      <c r="AT79" s="14"/>
      <c r="AU79" s="14"/>
    </row>
    <row r="80" spans="1:47" ht="18" customHeight="1">
      <c r="A80" s="15"/>
      <c r="B80" s="15"/>
      <c r="C80" s="102"/>
      <c r="D80" s="15" t="s">
        <v>660</v>
      </c>
      <c r="E80" s="15"/>
      <c r="F80" s="15"/>
      <c r="G80" s="15"/>
      <c r="H80" s="15"/>
      <c r="I80" s="15"/>
      <c r="J80" s="605">
        <v>0.615</v>
      </c>
      <c r="K80" s="605"/>
      <c r="L80" s="19" t="s">
        <v>161</v>
      </c>
      <c r="M80" s="768">
        <f>$U$28</f>
        <v>18.8</v>
      </c>
      <c r="N80" s="769"/>
      <c r="O80" s="319" t="s">
        <v>483</v>
      </c>
      <c r="P80" s="19" t="s">
        <v>161</v>
      </c>
      <c r="Q80" s="744">
        <f>$S$69</f>
        <v>0.36</v>
      </c>
      <c r="R80" s="572"/>
      <c r="S80" s="256" t="s">
        <v>484</v>
      </c>
      <c r="T80" s="742">
        <f>$J$80*$M$80^2*$Q$80</f>
        <v>78</v>
      </c>
      <c r="U80" s="742"/>
      <c r="V80" s="15" t="s">
        <v>485</v>
      </c>
      <c r="W80" s="15"/>
      <c r="X80" s="15"/>
      <c r="Y80" s="15"/>
      <c r="Z80" s="15"/>
      <c r="AA80" s="15"/>
      <c r="AB80" s="15"/>
      <c r="AC80" s="15"/>
      <c r="AD80" s="15"/>
      <c r="AE80" s="15"/>
      <c r="AF80" s="66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14"/>
      <c r="AS80" s="14"/>
      <c r="AT80" s="14"/>
      <c r="AU80" s="14"/>
    </row>
    <row r="81" spans="1:47" ht="18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66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14"/>
      <c r="AS81" s="14"/>
      <c r="AT81" s="14"/>
      <c r="AU81" s="14"/>
    </row>
    <row r="82" spans="1:47" ht="18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66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14"/>
      <c r="AS82" s="14"/>
      <c r="AT82" s="14"/>
      <c r="AU82" s="14"/>
    </row>
    <row r="83" spans="1:47" ht="18" customHeight="1">
      <c r="A83" s="15"/>
      <c r="B83" s="15" t="s">
        <v>657</v>
      </c>
      <c r="C83" s="15"/>
      <c r="D83" s="15"/>
      <c r="E83" s="15"/>
      <c r="F83" s="15"/>
      <c r="G83" s="15"/>
      <c r="H83" s="15"/>
      <c r="I83" s="15"/>
      <c r="J83" s="15"/>
      <c r="K83" s="555">
        <f>$K$64</f>
        <v>9</v>
      </c>
      <c r="L83" s="590"/>
      <c r="M83" s="15" t="s">
        <v>486</v>
      </c>
      <c r="N83" s="15"/>
      <c r="O83" s="15"/>
      <c r="P83" s="15" t="s">
        <v>654</v>
      </c>
      <c r="Q83" s="15"/>
      <c r="R83" s="15"/>
      <c r="S83" s="15"/>
      <c r="T83" s="165" t="s">
        <v>652</v>
      </c>
      <c r="U83" s="15"/>
      <c r="V83" s="15"/>
      <c r="W83" s="15"/>
      <c r="X83" s="15"/>
      <c r="Y83" s="15"/>
      <c r="Z83" s="15"/>
      <c r="AA83" s="15"/>
      <c r="AB83" s="15"/>
      <c r="AC83" s="410" t="s">
        <v>652</v>
      </c>
      <c r="AD83" s="15"/>
      <c r="AE83" s="15"/>
      <c r="AF83" s="66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14"/>
      <c r="AS83" s="14"/>
      <c r="AT83" s="14"/>
      <c r="AU83" s="14"/>
    </row>
    <row r="84" spans="1:47" ht="18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410" t="s">
        <v>653</v>
      </c>
      <c r="AD84" s="15"/>
      <c r="AE84" s="15"/>
      <c r="AF84" s="66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14"/>
      <c r="AS84" s="14"/>
      <c r="AT84" s="14"/>
      <c r="AU84" s="14"/>
    </row>
    <row r="85" spans="1:47" ht="18" customHeight="1">
      <c r="A85" s="15"/>
      <c r="B85" s="15"/>
      <c r="C85" s="15"/>
      <c r="D85" s="662" t="s">
        <v>487</v>
      </c>
      <c r="E85" s="582"/>
      <c r="F85" s="582"/>
      <c r="G85" s="19"/>
      <c r="H85" s="19"/>
      <c r="I85" s="757">
        <f>$L$23/1000</f>
        <v>1.5</v>
      </c>
      <c r="J85" s="757"/>
      <c r="K85" s="605" t="s">
        <v>488</v>
      </c>
      <c r="L85" s="758">
        <f>$K$83</f>
        <v>9</v>
      </c>
      <c r="M85" s="758"/>
      <c r="N85" s="605" t="s">
        <v>488</v>
      </c>
      <c r="O85" s="572">
        <f>'使用材一覧'!$P$14</f>
        <v>40</v>
      </c>
      <c r="P85" s="692"/>
      <c r="Q85" s="19"/>
      <c r="R85" s="19"/>
      <c r="S85" s="19"/>
      <c r="T85" s="19"/>
      <c r="U85" s="756" t="s">
        <v>489</v>
      </c>
      <c r="V85" s="581">
        <f>$I$85/2*$L$85/$L$86*$O$85</f>
        <v>300</v>
      </c>
      <c r="W85" s="581"/>
      <c r="X85" s="582"/>
      <c r="Y85" s="662" t="s">
        <v>490</v>
      </c>
      <c r="Z85" s="19"/>
      <c r="AA85" s="15"/>
      <c r="AB85" s="15"/>
      <c r="AC85" s="15"/>
      <c r="AD85" s="15"/>
      <c r="AE85" s="15"/>
      <c r="AF85" s="66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14"/>
      <c r="AS85" s="14"/>
      <c r="AT85" s="14"/>
      <c r="AU85" s="14"/>
    </row>
    <row r="86" spans="1:47" ht="18" customHeight="1">
      <c r="A86" s="15"/>
      <c r="B86" s="15"/>
      <c r="C86" s="15"/>
      <c r="D86" s="582"/>
      <c r="E86" s="582"/>
      <c r="F86" s="582"/>
      <c r="G86" s="19"/>
      <c r="H86" s="19"/>
      <c r="I86" s="781">
        <v>2</v>
      </c>
      <c r="J86" s="782"/>
      <c r="K86" s="755"/>
      <c r="L86" s="766">
        <f>$W$3/1000</f>
        <v>0.9</v>
      </c>
      <c r="M86" s="767"/>
      <c r="N86" s="755"/>
      <c r="O86" s="692"/>
      <c r="P86" s="692"/>
      <c r="Q86" s="19"/>
      <c r="R86" s="19"/>
      <c r="S86" s="19"/>
      <c r="T86" s="19"/>
      <c r="U86" s="755"/>
      <c r="V86" s="581"/>
      <c r="W86" s="581"/>
      <c r="X86" s="582"/>
      <c r="Y86" s="662"/>
      <c r="Z86" s="19"/>
      <c r="AA86" s="15"/>
      <c r="AB86" s="15"/>
      <c r="AC86" s="15"/>
      <c r="AD86" s="15"/>
      <c r="AE86" s="321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14"/>
      <c r="AS86" s="14"/>
      <c r="AT86" s="14"/>
      <c r="AU86" s="14"/>
    </row>
    <row r="87" spans="1:47" ht="18" customHeight="1">
      <c r="A87" s="15"/>
      <c r="B87" s="15"/>
      <c r="C87" s="15"/>
      <c r="D87" s="662" t="s">
        <v>491</v>
      </c>
      <c r="E87" s="582"/>
      <c r="F87" s="582"/>
      <c r="G87" s="19"/>
      <c r="H87" s="19"/>
      <c r="I87" s="757">
        <f>$L$23/1000</f>
        <v>1.5</v>
      </c>
      <c r="J87" s="757"/>
      <c r="K87" s="605" t="s">
        <v>488</v>
      </c>
      <c r="L87" s="758">
        <f>$K$83</f>
        <v>9</v>
      </c>
      <c r="M87" s="758"/>
      <c r="N87" s="605" t="s">
        <v>488</v>
      </c>
      <c r="O87" s="572">
        <f>'使用材一覧'!$P$14</f>
        <v>40</v>
      </c>
      <c r="P87" s="692"/>
      <c r="Q87" s="19"/>
      <c r="R87" s="19"/>
      <c r="S87" s="19"/>
      <c r="T87" s="19"/>
      <c r="U87" s="756" t="s">
        <v>489</v>
      </c>
      <c r="V87" s="581">
        <f>$I$87/2*$L$87/$L$88*$O$87</f>
        <v>77</v>
      </c>
      <c r="W87" s="581"/>
      <c r="X87" s="582"/>
      <c r="Y87" s="662" t="s">
        <v>490</v>
      </c>
      <c r="Z87" s="19"/>
      <c r="AA87" s="15"/>
      <c r="AB87" s="15"/>
      <c r="AC87" s="15"/>
      <c r="AD87" s="15"/>
      <c r="AE87" s="15"/>
      <c r="AF87" s="66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14"/>
      <c r="AS87" s="14"/>
      <c r="AT87" s="14"/>
      <c r="AU87" s="14"/>
    </row>
    <row r="88" spans="1:47" ht="18" customHeight="1">
      <c r="A88" s="15"/>
      <c r="B88" s="15"/>
      <c r="C88" s="15"/>
      <c r="D88" s="582"/>
      <c r="E88" s="582"/>
      <c r="F88" s="582"/>
      <c r="G88" s="19"/>
      <c r="H88" s="19"/>
      <c r="I88" s="781">
        <v>2</v>
      </c>
      <c r="J88" s="782"/>
      <c r="K88" s="755"/>
      <c r="L88" s="766">
        <f>$W$5/1000</f>
        <v>3.5</v>
      </c>
      <c r="M88" s="767"/>
      <c r="N88" s="755"/>
      <c r="O88" s="692"/>
      <c r="P88" s="692"/>
      <c r="Q88" s="19"/>
      <c r="R88" s="19"/>
      <c r="S88" s="19"/>
      <c r="T88" s="19"/>
      <c r="U88" s="755"/>
      <c r="V88" s="581"/>
      <c r="W88" s="581"/>
      <c r="X88" s="582"/>
      <c r="Y88" s="662"/>
      <c r="Z88" s="19"/>
      <c r="AA88" s="15"/>
      <c r="AB88" s="15"/>
      <c r="AC88" s="15"/>
      <c r="AD88" s="15"/>
      <c r="AE88" s="321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14"/>
      <c r="AS88" s="14"/>
      <c r="AT88" s="14"/>
      <c r="AU88" s="14"/>
    </row>
    <row r="89" spans="1:47" ht="18" customHeight="1">
      <c r="A89" s="15"/>
      <c r="B89" s="15"/>
      <c r="C89" s="15"/>
      <c r="D89" s="15" t="s">
        <v>495</v>
      </c>
      <c r="E89" s="15"/>
      <c r="F89" s="15"/>
      <c r="G89" s="19"/>
      <c r="H89" s="19"/>
      <c r="I89" s="760">
        <f>$K$83</f>
        <v>9</v>
      </c>
      <c r="J89" s="760"/>
      <c r="K89" s="19" t="s">
        <v>492</v>
      </c>
      <c r="L89" s="572">
        <f>'使用材一覧'!$P$14</f>
        <v>40</v>
      </c>
      <c r="M89" s="572"/>
      <c r="N89" s="19"/>
      <c r="O89" s="19"/>
      <c r="P89" s="19"/>
      <c r="Q89" s="19"/>
      <c r="R89" s="19"/>
      <c r="S89" s="19"/>
      <c r="T89" s="19"/>
      <c r="U89" s="320" t="s">
        <v>493</v>
      </c>
      <c r="V89" s="591">
        <f>$I$89*$L$89</f>
        <v>360</v>
      </c>
      <c r="W89" s="591"/>
      <c r="X89" s="582"/>
      <c r="Y89" s="15" t="s">
        <v>494</v>
      </c>
      <c r="Z89" s="19"/>
      <c r="AA89" s="321"/>
      <c r="AB89" s="321"/>
      <c r="AC89" s="321"/>
      <c r="AD89" s="321"/>
      <c r="AE89" s="27"/>
      <c r="AF89" s="27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14"/>
      <c r="AS89" s="14"/>
      <c r="AT89" s="14"/>
      <c r="AU89" s="14"/>
    </row>
    <row r="90" spans="1:47" ht="18" customHeight="1">
      <c r="A90" s="15"/>
      <c r="B90" s="15"/>
      <c r="C90" s="15"/>
      <c r="D90" s="15" t="s">
        <v>496</v>
      </c>
      <c r="E90" s="15"/>
      <c r="F90" s="15"/>
      <c r="G90" s="19"/>
      <c r="H90" s="18"/>
      <c r="I90" s="27">
        <f>ROUNDUP($K$83/('足場板'!$M$55/1000)+1,0)+IF($T$83="有り",ROUNDUP($K$83/(G8*2/1000)+1,0),0)</f>
        <v>17</v>
      </c>
      <c r="J90" s="346" t="s">
        <v>161</v>
      </c>
      <c r="K90" s="27">
        <f>'使用材一覧'!$P$38</f>
        <v>7</v>
      </c>
      <c r="L90" s="19"/>
      <c r="M90" s="19"/>
      <c r="N90" s="19"/>
      <c r="O90" s="19"/>
      <c r="P90" s="19"/>
      <c r="Q90" s="19"/>
      <c r="R90" s="19"/>
      <c r="S90" s="19"/>
      <c r="T90" s="19"/>
      <c r="U90" s="320" t="s">
        <v>493</v>
      </c>
      <c r="V90" s="591">
        <f>$I$90*$K$90</f>
        <v>119</v>
      </c>
      <c r="W90" s="591"/>
      <c r="X90" s="662"/>
      <c r="Y90" s="15" t="s">
        <v>494</v>
      </c>
      <c r="Z90" s="27"/>
      <c r="AA90" s="19"/>
      <c r="AB90" s="19"/>
      <c r="AC90" s="19"/>
      <c r="AD90" s="19"/>
      <c r="AE90" s="27"/>
      <c r="AF90" s="27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14"/>
      <c r="AS90" s="14"/>
      <c r="AT90" s="14"/>
      <c r="AU90" s="14"/>
    </row>
    <row r="91" spans="1:47" ht="18" customHeight="1">
      <c r="A91" s="15"/>
      <c r="B91" s="15"/>
      <c r="C91" s="15"/>
      <c r="D91" s="662" t="s">
        <v>98</v>
      </c>
      <c r="E91" s="662"/>
      <c r="F91" s="662"/>
      <c r="G91" s="19"/>
      <c r="H91" s="19"/>
      <c r="I91" s="666">
        <f>$L$23/1000</f>
        <v>1.5</v>
      </c>
      <c r="J91" s="666"/>
      <c r="K91" s="605" t="s">
        <v>161</v>
      </c>
      <c r="L91" s="760">
        <f>$K$83</f>
        <v>9</v>
      </c>
      <c r="M91" s="761"/>
      <c r="N91" s="605" t="s">
        <v>161</v>
      </c>
      <c r="O91" s="619">
        <f>VLOOKUP('使用材一覧'!$H$4,'使用材一覧'!$AC$19:$AO$23,8,FALSE)</f>
        <v>184</v>
      </c>
      <c r="P91" s="778"/>
      <c r="Q91" s="19"/>
      <c r="R91" s="19"/>
      <c r="S91" s="19"/>
      <c r="T91" s="19"/>
      <c r="U91" s="756" t="s">
        <v>160</v>
      </c>
      <c r="V91" s="591">
        <f>$I$91/$I$92*$L$91*$O$91</f>
        <v>1242</v>
      </c>
      <c r="W91" s="591"/>
      <c r="X91" s="662"/>
      <c r="Y91" s="662" t="s">
        <v>95</v>
      </c>
      <c r="Z91" s="27"/>
      <c r="AA91" s="19"/>
      <c r="AB91" s="19"/>
      <c r="AC91" s="19"/>
      <c r="AD91" s="19"/>
      <c r="AE91" s="27"/>
      <c r="AF91" s="27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14"/>
      <c r="AS91" s="14"/>
      <c r="AT91" s="14"/>
      <c r="AU91" s="14"/>
    </row>
    <row r="92" spans="1:47" ht="18" customHeight="1">
      <c r="A92" s="15"/>
      <c r="B92" s="15"/>
      <c r="C92" s="15"/>
      <c r="D92" s="648"/>
      <c r="E92" s="648"/>
      <c r="F92" s="648"/>
      <c r="G92" s="19"/>
      <c r="H92" s="19"/>
      <c r="I92" s="759">
        <v>2</v>
      </c>
      <c r="J92" s="759"/>
      <c r="K92" s="755"/>
      <c r="L92" s="762"/>
      <c r="M92" s="762"/>
      <c r="N92" s="605"/>
      <c r="O92" s="678"/>
      <c r="P92" s="678"/>
      <c r="Q92" s="19"/>
      <c r="R92" s="19"/>
      <c r="S92" s="117"/>
      <c r="T92" s="117"/>
      <c r="U92" s="605"/>
      <c r="V92" s="648"/>
      <c r="W92" s="648"/>
      <c r="X92" s="648"/>
      <c r="Y92" s="648"/>
      <c r="Z92" s="27"/>
      <c r="AA92" s="19"/>
      <c r="AB92" s="19"/>
      <c r="AC92" s="19"/>
      <c r="AD92" s="19"/>
      <c r="AE92" s="27"/>
      <c r="AF92" s="27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14"/>
      <c r="AS92" s="14"/>
      <c r="AT92" s="14"/>
      <c r="AU92" s="14"/>
    </row>
    <row r="93" spans="1:47" ht="18" customHeight="1">
      <c r="A93" s="15"/>
      <c r="B93" s="15"/>
      <c r="C93" s="15"/>
      <c r="D93" s="121"/>
      <c r="E93" s="121"/>
      <c r="F93" s="121"/>
      <c r="G93" s="120"/>
      <c r="H93" s="120"/>
      <c r="I93" s="323"/>
      <c r="J93" s="323"/>
      <c r="K93" s="120"/>
      <c r="L93" s="120"/>
      <c r="M93" s="171"/>
      <c r="N93" s="171"/>
      <c r="O93" s="120"/>
      <c r="P93" s="120"/>
      <c r="Q93" s="120"/>
      <c r="R93" s="120"/>
      <c r="S93" s="121" t="s">
        <v>93</v>
      </c>
      <c r="T93" s="121"/>
      <c r="U93" s="120" t="s">
        <v>160</v>
      </c>
      <c r="V93" s="684">
        <f>SUM($V$85:$V$92)</f>
        <v>2098</v>
      </c>
      <c r="W93" s="684"/>
      <c r="X93" s="650"/>
      <c r="Y93" s="121" t="s">
        <v>95</v>
      </c>
      <c r="Z93" s="27"/>
      <c r="AA93" s="27"/>
      <c r="AB93" s="27"/>
      <c r="AC93" s="27"/>
      <c r="AD93" s="27"/>
      <c r="AE93" s="19"/>
      <c r="AF93" s="66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14"/>
      <c r="AS93" s="14"/>
      <c r="AT93" s="14"/>
      <c r="AU93" s="14"/>
    </row>
    <row r="94" spans="1:47" ht="18" customHeight="1">
      <c r="A94" s="15"/>
      <c r="B94" s="15"/>
      <c r="C94" s="15"/>
      <c r="D94" s="15"/>
      <c r="E94" s="15"/>
      <c r="F94" s="15"/>
      <c r="G94" s="19"/>
      <c r="H94" s="19"/>
      <c r="I94" s="294"/>
      <c r="J94" s="294"/>
      <c r="K94" s="19"/>
      <c r="L94" s="19"/>
      <c r="M94" s="167"/>
      <c r="N94" s="167"/>
      <c r="O94" s="19"/>
      <c r="P94" s="19"/>
      <c r="Q94" s="19"/>
      <c r="R94" s="19"/>
      <c r="S94" s="15"/>
      <c r="T94" s="15"/>
      <c r="U94" s="19"/>
      <c r="V94" s="20"/>
      <c r="W94" s="20"/>
      <c r="X94" s="15"/>
      <c r="Y94" s="15"/>
      <c r="Z94" s="27"/>
      <c r="AA94" s="27"/>
      <c r="AB94" s="27"/>
      <c r="AC94" s="27"/>
      <c r="AD94" s="27"/>
      <c r="AE94" s="19"/>
      <c r="AF94" s="66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14"/>
      <c r="AS94" s="14"/>
      <c r="AT94" s="14"/>
      <c r="AU94" s="14"/>
    </row>
    <row r="95" spans="1:47" ht="18" customHeight="1">
      <c r="A95" s="15"/>
      <c r="B95" s="15"/>
      <c r="C95" s="15"/>
      <c r="D95" s="15"/>
      <c r="E95" s="15"/>
      <c r="F95" s="15"/>
      <c r="G95" s="19"/>
      <c r="H95" s="19"/>
      <c r="I95" s="294"/>
      <c r="J95" s="294"/>
      <c r="K95" s="19"/>
      <c r="L95" s="19"/>
      <c r="M95" s="167"/>
      <c r="N95" s="167"/>
      <c r="O95" s="19"/>
      <c r="P95" s="19"/>
      <c r="Q95" s="19"/>
      <c r="R95" s="19"/>
      <c r="S95" s="15"/>
      <c r="T95" s="15"/>
      <c r="U95" s="19"/>
      <c r="V95" s="20"/>
      <c r="W95" s="20"/>
      <c r="X95" s="15"/>
      <c r="Y95" s="15"/>
      <c r="Z95" s="27"/>
      <c r="AA95" s="27"/>
      <c r="AB95" s="27"/>
      <c r="AC95" s="27"/>
      <c r="AD95" s="27"/>
      <c r="AE95" s="19"/>
      <c r="AF95" s="66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14"/>
      <c r="AS95" s="14"/>
      <c r="AT95" s="14"/>
      <c r="AU95" s="14"/>
    </row>
    <row r="96" spans="1:47" ht="18" customHeight="1">
      <c r="A96" s="15"/>
      <c r="B96" s="15" t="s">
        <v>676</v>
      </c>
      <c r="C96" s="15"/>
      <c r="D96" s="15"/>
      <c r="E96" s="15"/>
      <c r="F96" s="15"/>
      <c r="G96" s="15"/>
      <c r="H96" s="15"/>
      <c r="I96" s="15"/>
      <c r="J96" s="555">
        <f>$K$83</f>
        <v>9</v>
      </c>
      <c r="K96" s="590"/>
      <c r="L96" s="15" t="s">
        <v>500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27"/>
      <c r="AB96" s="27"/>
      <c r="AC96" s="27"/>
      <c r="AD96" s="27"/>
      <c r="AE96" s="15"/>
      <c r="AF96" s="66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14"/>
      <c r="AS96" s="14"/>
      <c r="AT96" s="14"/>
      <c r="AU96" s="14"/>
    </row>
    <row r="97" spans="1:47" ht="18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9"/>
      <c r="AB97" s="19"/>
      <c r="AC97" s="19"/>
      <c r="AD97" s="19"/>
      <c r="AE97" s="321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14"/>
      <c r="AS97" s="14"/>
      <c r="AT97" s="14"/>
      <c r="AU97" s="14"/>
    </row>
    <row r="98" spans="1:47" ht="18" customHeight="1">
      <c r="A98" s="15"/>
      <c r="B98" s="15"/>
      <c r="C98" s="15"/>
      <c r="D98" s="662" t="s">
        <v>546</v>
      </c>
      <c r="E98" s="582"/>
      <c r="F98" s="582"/>
      <c r="G98" s="19"/>
      <c r="H98" s="19"/>
      <c r="I98" s="751">
        <f>$W$4/1000</f>
        <v>2.5</v>
      </c>
      <c r="J98" s="751"/>
      <c r="K98" s="605" t="s">
        <v>501</v>
      </c>
      <c r="L98" s="758">
        <f>$J$96</f>
        <v>9</v>
      </c>
      <c r="M98" s="758"/>
      <c r="N98" s="605" t="s">
        <v>501</v>
      </c>
      <c r="O98" s="742">
        <f>'使用材一覧'!$P$14</f>
        <v>40</v>
      </c>
      <c r="P98" s="743"/>
      <c r="Q98" s="19"/>
      <c r="R98" s="19"/>
      <c r="S98" s="19"/>
      <c r="T98" s="19"/>
      <c r="U98" s="756" t="s">
        <v>502</v>
      </c>
      <c r="V98" s="581">
        <f>$I$98*$L$98/$L$99*$O$98</f>
        <v>900</v>
      </c>
      <c r="W98" s="581"/>
      <c r="X98" s="582"/>
      <c r="Y98" s="662" t="s">
        <v>503</v>
      </c>
      <c r="Z98" s="19"/>
      <c r="AA98" s="15"/>
      <c r="AB98" s="15"/>
      <c r="AC98" s="15"/>
      <c r="AD98" s="15"/>
      <c r="AE98" s="19"/>
      <c r="AF98" s="66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14"/>
      <c r="AS98" s="14"/>
      <c r="AT98" s="14"/>
      <c r="AU98" s="14"/>
    </row>
    <row r="99" spans="1:47" ht="18" customHeight="1">
      <c r="A99" s="15"/>
      <c r="B99" s="15"/>
      <c r="C99" s="15"/>
      <c r="D99" s="582"/>
      <c r="E99" s="582"/>
      <c r="F99" s="582"/>
      <c r="G99" s="19"/>
      <c r="H99" s="19"/>
      <c r="I99" s="728"/>
      <c r="J99" s="728"/>
      <c r="K99" s="755"/>
      <c r="L99" s="766">
        <f>$G$8/1000</f>
        <v>1</v>
      </c>
      <c r="M99" s="767"/>
      <c r="N99" s="755"/>
      <c r="O99" s="743"/>
      <c r="P99" s="743"/>
      <c r="Q99" s="19"/>
      <c r="R99" s="19"/>
      <c r="S99" s="19"/>
      <c r="T99" s="19"/>
      <c r="U99" s="755"/>
      <c r="V99" s="581"/>
      <c r="W99" s="581"/>
      <c r="X99" s="582"/>
      <c r="Y99" s="662"/>
      <c r="Z99" s="19"/>
      <c r="AA99" s="15"/>
      <c r="AB99" s="15"/>
      <c r="AC99" s="15"/>
      <c r="AD99" s="15"/>
      <c r="AE99" s="19"/>
      <c r="AF99" s="66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14"/>
      <c r="AS99" s="14"/>
      <c r="AT99" s="14"/>
      <c r="AU99" s="14"/>
    </row>
    <row r="100" spans="1:47" ht="18" customHeight="1">
      <c r="A100" s="15"/>
      <c r="B100" s="15"/>
      <c r="C100" s="15"/>
      <c r="D100" s="15" t="s">
        <v>504</v>
      </c>
      <c r="E100" s="15"/>
      <c r="F100" s="15"/>
      <c r="G100" s="19"/>
      <c r="H100" s="19"/>
      <c r="I100" s="752">
        <f>$W$6/1000</f>
        <v>1</v>
      </c>
      <c r="J100" s="752"/>
      <c r="K100" s="605" t="s">
        <v>501</v>
      </c>
      <c r="L100" s="784">
        <f>$J$96</f>
        <v>9</v>
      </c>
      <c r="M100" s="784"/>
      <c r="N100" s="605" t="s">
        <v>501</v>
      </c>
      <c r="O100" s="742">
        <f>'使用材一覧'!$P$14</f>
        <v>40</v>
      </c>
      <c r="P100" s="743"/>
      <c r="Q100" s="19"/>
      <c r="R100" s="19"/>
      <c r="S100" s="19"/>
      <c r="T100" s="19"/>
      <c r="U100" s="320" t="s">
        <v>502</v>
      </c>
      <c r="V100" s="581">
        <f>$I$100*$L$100/$L$101*$O$100</f>
        <v>360</v>
      </c>
      <c r="W100" s="581"/>
      <c r="X100" s="582"/>
      <c r="Y100" s="15" t="s">
        <v>503</v>
      </c>
      <c r="Z100" s="19"/>
      <c r="AA100" s="321"/>
      <c r="AB100" s="321"/>
      <c r="AC100" s="321"/>
      <c r="AD100" s="321"/>
      <c r="AE100" s="19"/>
      <c r="AF100" s="66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14"/>
      <c r="AS100" s="14"/>
      <c r="AT100" s="14"/>
      <c r="AU100" s="14"/>
    </row>
    <row r="101" spans="1:47" ht="18" customHeight="1">
      <c r="A101" s="15"/>
      <c r="B101" s="15"/>
      <c r="C101" s="15"/>
      <c r="D101" s="15"/>
      <c r="E101" s="15"/>
      <c r="F101" s="15"/>
      <c r="G101" s="19"/>
      <c r="H101" s="19"/>
      <c r="I101" s="753"/>
      <c r="J101" s="753"/>
      <c r="K101" s="755"/>
      <c r="L101" s="766">
        <f>$G$8/1000</f>
        <v>1</v>
      </c>
      <c r="M101" s="767"/>
      <c r="N101" s="755"/>
      <c r="O101" s="743"/>
      <c r="P101" s="743"/>
      <c r="Q101" s="19"/>
      <c r="R101" s="19"/>
      <c r="S101" s="19"/>
      <c r="T101" s="19"/>
      <c r="U101" s="320"/>
      <c r="V101" s="581"/>
      <c r="W101" s="581"/>
      <c r="X101" s="582"/>
      <c r="Y101" s="15"/>
      <c r="Z101" s="19"/>
      <c r="AA101" s="19"/>
      <c r="AB101" s="19"/>
      <c r="AC101" s="19"/>
      <c r="AD101" s="19"/>
      <c r="AE101" s="27"/>
      <c r="AF101" s="27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14"/>
      <c r="AS101" s="14"/>
      <c r="AT101" s="14"/>
      <c r="AU101" s="14"/>
    </row>
    <row r="102" spans="1:47" ht="18" customHeight="1">
      <c r="A102" s="15"/>
      <c r="B102" s="15"/>
      <c r="C102" s="244"/>
      <c r="D102" s="15" t="s">
        <v>349</v>
      </c>
      <c r="E102" s="15"/>
      <c r="F102" s="15"/>
      <c r="G102" s="19"/>
      <c r="H102" s="19"/>
      <c r="I102" s="541">
        <f>$W$7</f>
        <v>4</v>
      </c>
      <c r="J102" s="541"/>
      <c r="K102" s="19" t="s">
        <v>501</v>
      </c>
      <c r="L102" s="760">
        <f>$J$96</f>
        <v>9</v>
      </c>
      <c r="M102" s="760"/>
      <c r="N102" s="19" t="s">
        <v>501</v>
      </c>
      <c r="O102" s="541">
        <f>'使用材一覧'!$P$14</f>
        <v>40</v>
      </c>
      <c r="P102" s="541"/>
      <c r="Q102" s="19"/>
      <c r="R102" s="19"/>
      <c r="S102" s="19"/>
      <c r="T102" s="19"/>
      <c r="U102" s="320" t="s">
        <v>502</v>
      </c>
      <c r="V102" s="591">
        <f>$I$102*$L$102*$O$102</f>
        <v>1440</v>
      </c>
      <c r="W102" s="591"/>
      <c r="X102" s="582"/>
      <c r="Y102" s="15" t="s">
        <v>503</v>
      </c>
      <c r="Z102" s="27"/>
      <c r="AA102" s="19"/>
      <c r="AB102" s="19"/>
      <c r="AC102" s="19"/>
      <c r="AD102" s="19"/>
      <c r="AE102" s="27"/>
      <c r="AF102" s="27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14"/>
      <c r="AS102" s="14"/>
      <c r="AT102" s="14"/>
      <c r="AU102" s="14"/>
    </row>
    <row r="103" spans="1:47" ht="18" customHeight="1">
      <c r="A103" s="15"/>
      <c r="B103" s="15"/>
      <c r="C103" s="15"/>
      <c r="D103" s="15" t="s">
        <v>496</v>
      </c>
      <c r="E103" s="15"/>
      <c r="F103" s="15"/>
      <c r="G103" s="19"/>
      <c r="H103" s="18" t="s">
        <v>497</v>
      </c>
      <c r="I103" s="27">
        <f>ROUND($K$83/($G$8/1000)+1,0)*$W$7</f>
        <v>40</v>
      </c>
      <c r="J103" s="19" t="s">
        <v>498</v>
      </c>
      <c r="K103" s="27">
        <f>IF($T$83="有り",ROUND($K$83/($G$8/1000)+1,0),0)</f>
        <v>10</v>
      </c>
      <c r="L103" s="19" t="s">
        <v>498</v>
      </c>
      <c r="M103" s="27">
        <f>(ROUNDUP($K$83/($G$8/1000),0)+1)*2</f>
        <v>20</v>
      </c>
      <c r="N103" s="322" t="s">
        <v>499</v>
      </c>
      <c r="O103" s="27">
        <f>'使用材一覧'!$P$38</f>
        <v>7</v>
      </c>
      <c r="P103" s="19"/>
      <c r="Q103" s="19"/>
      <c r="R103" s="19"/>
      <c r="S103" s="19"/>
      <c r="T103" s="19"/>
      <c r="U103" s="320" t="s">
        <v>493</v>
      </c>
      <c r="V103" s="591">
        <f>($I$103+$K$103+$M$103)*$O$103</f>
        <v>490</v>
      </c>
      <c r="W103" s="591"/>
      <c r="X103" s="662"/>
      <c r="Y103" s="15" t="s">
        <v>494</v>
      </c>
      <c r="Z103" s="27"/>
      <c r="AA103" s="19"/>
      <c r="AB103" s="19"/>
      <c r="AC103" s="19"/>
      <c r="AD103" s="19"/>
      <c r="AE103" s="27"/>
      <c r="AF103" s="27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14"/>
      <c r="AS103" s="14"/>
      <c r="AT103" s="14"/>
      <c r="AU103" s="14"/>
    </row>
    <row r="104" spans="1:47" ht="18" customHeight="1">
      <c r="A104" s="15"/>
      <c r="B104" s="15"/>
      <c r="C104" s="244"/>
      <c r="D104" s="15" t="s">
        <v>505</v>
      </c>
      <c r="E104" s="15"/>
      <c r="F104" s="15"/>
      <c r="G104" s="19"/>
      <c r="H104" s="18"/>
      <c r="I104" s="751">
        <f>$E$14/1000</f>
        <v>2</v>
      </c>
      <c r="J104" s="751"/>
      <c r="K104" s="19" t="s">
        <v>506</v>
      </c>
      <c r="L104" s="19" t="s">
        <v>501</v>
      </c>
      <c r="M104" s="760">
        <f>$J$96</f>
        <v>9</v>
      </c>
      <c r="N104" s="760"/>
      <c r="O104" s="19" t="s">
        <v>501</v>
      </c>
      <c r="P104" s="742">
        <f>'使用材一覧'!$P$53</f>
        <v>94</v>
      </c>
      <c r="Q104" s="763"/>
      <c r="R104" s="19"/>
      <c r="S104" s="19"/>
      <c r="T104" s="19"/>
      <c r="U104" s="320" t="s">
        <v>502</v>
      </c>
      <c r="V104" s="591">
        <f>$I$104*$M$104*$P$104</f>
        <v>1692</v>
      </c>
      <c r="W104" s="591"/>
      <c r="X104" s="662"/>
      <c r="Y104" s="15" t="s">
        <v>503</v>
      </c>
      <c r="Z104" s="27"/>
      <c r="AA104" s="19"/>
      <c r="AB104" s="19"/>
      <c r="AC104" s="19"/>
      <c r="AD104" s="19"/>
      <c r="AE104" s="27"/>
      <c r="AF104" s="27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14"/>
      <c r="AS104" s="14"/>
      <c r="AT104" s="14"/>
      <c r="AU104" s="14"/>
    </row>
    <row r="105" spans="1:47" ht="18" customHeight="1">
      <c r="A105" s="15"/>
      <c r="B105" s="15"/>
      <c r="C105" s="244"/>
      <c r="D105" s="124" t="s">
        <v>507</v>
      </c>
      <c r="E105" s="124"/>
      <c r="F105" s="124"/>
      <c r="G105" s="117"/>
      <c r="H105" s="142"/>
      <c r="I105" s="783">
        <f>$E$14/3/1000</f>
        <v>0.667</v>
      </c>
      <c r="J105" s="783"/>
      <c r="K105" s="117" t="s">
        <v>151</v>
      </c>
      <c r="L105" s="117" t="s">
        <v>161</v>
      </c>
      <c r="M105" s="762">
        <f>$J$96</f>
        <v>9</v>
      </c>
      <c r="N105" s="762"/>
      <c r="O105" s="117" t="s">
        <v>161</v>
      </c>
      <c r="P105" s="764">
        <f>VLOOKUP($H$67,$AH$52:$AK$56,4,FALSE)</f>
        <v>2.9</v>
      </c>
      <c r="Q105" s="765"/>
      <c r="R105" s="117"/>
      <c r="S105" s="117"/>
      <c r="T105" s="117"/>
      <c r="U105" s="169" t="s">
        <v>160</v>
      </c>
      <c r="V105" s="693">
        <f>$I$105*$M$105*$P$105</f>
        <v>17</v>
      </c>
      <c r="W105" s="693"/>
      <c r="X105" s="648"/>
      <c r="Y105" s="124" t="s">
        <v>95</v>
      </c>
      <c r="Z105" s="27"/>
      <c r="AA105" s="19"/>
      <c r="AB105" s="19"/>
      <c r="AC105" s="19"/>
      <c r="AD105" s="19"/>
      <c r="AE105" s="27"/>
      <c r="AF105" s="27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14"/>
      <c r="AS105" s="14"/>
      <c r="AT105" s="14"/>
      <c r="AU105" s="14"/>
    </row>
    <row r="106" spans="1:47" ht="18" customHeight="1">
      <c r="A106" s="15"/>
      <c r="B106" s="15"/>
      <c r="C106" s="244"/>
      <c r="D106" s="121"/>
      <c r="E106" s="121"/>
      <c r="F106" s="121"/>
      <c r="G106" s="120"/>
      <c r="H106" s="120"/>
      <c r="I106" s="323"/>
      <c r="J106" s="323"/>
      <c r="K106" s="120"/>
      <c r="L106" s="120"/>
      <c r="M106" s="171"/>
      <c r="N106" s="171"/>
      <c r="O106" s="120"/>
      <c r="P106" s="120"/>
      <c r="Q106" s="120"/>
      <c r="R106" s="120"/>
      <c r="S106" s="121" t="s">
        <v>93</v>
      </c>
      <c r="T106" s="121"/>
      <c r="U106" s="120" t="s">
        <v>160</v>
      </c>
      <c r="V106" s="684">
        <f>SUM(V98:V105)</f>
        <v>4899</v>
      </c>
      <c r="W106" s="684"/>
      <c r="X106" s="650"/>
      <c r="Y106" s="121" t="s">
        <v>95</v>
      </c>
      <c r="Z106" s="27"/>
      <c r="AA106" s="27"/>
      <c r="AB106" s="27"/>
      <c r="AC106" s="27"/>
      <c r="AD106" s="27"/>
      <c r="AE106" s="27"/>
      <c r="AF106" s="27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14"/>
      <c r="AS106" s="14"/>
      <c r="AT106" s="14"/>
      <c r="AU106" s="14"/>
    </row>
    <row r="107" spans="1:47" ht="18" customHeight="1">
      <c r="A107" s="15"/>
      <c r="B107" s="15"/>
      <c r="C107" s="244"/>
      <c r="D107" s="15"/>
      <c r="E107" s="15"/>
      <c r="F107" s="15"/>
      <c r="G107" s="19"/>
      <c r="H107" s="19"/>
      <c r="I107" s="294"/>
      <c r="J107" s="294"/>
      <c r="K107" s="19"/>
      <c r="L107" s="19"/>
      <c r="M107" s="167"/>
      <c r="N107" s="167"/>
      <c r="O107" s="19"/>
      <c r="P107" s="19"/>
      <c r="Q107" s="19"/>
      <c r="R107" s="19"/>
      <c r="S107" s="19"/>
      <c r="T107" s="19"/>
      <c r="U107" s="19"/>
      <c r="V107" s="20"/>
      <c r="W107" s="20"/>
      <c r="X107" s="15"/>
      <c r="Y107" s="15"/>
      <c r="Z107" s="27"/>
      <c r="AA107" s="27"/>
      <c r="AB107" s="27"/>
      <c r="AC107" s="27"/>
      <c r="AD107" s="27"/>
      <c r="AE107" s="19"/>
      <c r="AF107" s="66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14"/>
      <c r="AS107" s="14"/>
      <c r="AT107" s="14"/>
      <c r="AU107" s="14"/>
    </row>
    <row r="108" spans="1:43" ht="18" customHeight="1">
      <c r="A108" s="324"/>
      <c r="B108" s="325"/>
      <c r="C108" s="325"/>
      <c r="D108" s="325"/>
      <c r="E108" s="325"/>
      <c r="F108" s="325"/>
      <c r="G108" s="325"/>
      <c r="H108" s="325"/>
      <c r="I108" s="325"/>
      <c r="J108" s="326"/>
      <c r="K108" s="325"/>
      <c r="L108" s="325"/>
      <c r="M108" s="325"/>
      <c r="N108" s="325"/>
      <c r="O108" s="325"/>
      <c r="P108" s="325"/>
      <c r="Q108" s="325"/>
      <c r="R108" s="325"/>
      <c r="S108" s="325"/>
      <c r="T108" s="325"/>
      <c r="U108" s="325"/>
      <c r="V108" s="325"/>
      <c r="W108" s="325"/>
      <c r="X108" s="325"/>
      <c r="Y108" s="325"/>
      <c r="Z108" s="325"/>
      <c r="AA108" s="327"/>
      <c r="AB108" s="327"/>
      <c r="AC108" s="327"/>
      <c r="AD108" s="327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</row>
    <row r="109" spans="1:43" ht="18" customHeight="1">
      <c r="A109" s="324"/>
      <c r="B109" s="325"/>
      <c r="C109" s="325"/>
      <c r="D109" s="325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5"/>
      <c r="R109" s="325"/>
      <c r="S109" s="325"/>
      <c r="T109" s="325"/>
      <c r="U109" s="328"/>
      <c r="V109" s="325"/>
      <c r="W109" s="325"/>
      <c r="X109" s="325"/>
      <c r="Y109" s="325"/>
      <c r="Z109" s="325"/>
      <c r="AA109" s="327"/>
      <c r="AB109" s="327"/>
      <c r="AC109" s="327"/>
      <c r="AD109" s="327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</row>
    <row r="110" spans="1:43" ht="18" customHeight="1">
      <c r="A110" s="324"/>
      <c r="B110" s="325"/>
      <c r="C110" s="326"/>
      <c r="D110" s="325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325"/>
      <c r="Q110" s="325"/>
      <c r="R110" s="325"/>
      <c r="S110" s="325"/>
      <c r="T110" s="325"/>
      <c r="U110" s="325"/>
      <c r="V110" s="328"/>
      <c r="W110" s="328"/>
      <c r="X110" s="325"/>
      <c r="Y110" s="325"/>
      <c r="Z110" s="325"/>
      <c r="AA110" s="325"/>
      <c r="AB110" s="325"/>
      <c r="AC110" s="325"/>
      <c r="AD110" s="325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</row>
    <row r="111" spans="1:43" ht="18" customHeight="1">
      <c r="A111" s="324"/>
      <c r="B111" s="325"/>
      <c r="C111" s="326"/>
      <c r="D111" s="325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9"/>
      <c r="AB111" s="329"/>
      <c r="AC111" s="329"/>
      <c r="AD111" s="32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</row>
    <row r="112" spans="1:43" ht="18" customHeight="1">
      <c r="A112" s="324"/>
      <c r="B112" s="325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25"/>
      <c r="W112" s="325"/>
      <c r="X112" s="325"/>
      <c r="Y112" s="325"/>
      <c r="Z112" s="325"/>
      <c r="AA112" s="329"/>
      <c r="AB112" s="329"/>
      <c r="AC112" s="329"/>
      <c r="AD112" s="32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</row>
    <row r="113" spans="1:43" ht="18" customHeight="1">
      <c r="A113" s="325"/>
      <c r="B113" s="325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5"/>
      <c r="Y113" s="329"/>
      <c r="Z113" s="329"/>
      <c r="AA113" s="329"/>
      <c r="AB113" s="329"/>
      <c r="AC113" s="329"/>
      <c r="AD113" s="32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</row>
    <row r="114" spans="1:30" ht="18" customHeight="1">
      <c r="A114" s="330"/>
      <c r="B114" s="330"/>
      <c r="C114" s="331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2"/>
      <c r="Z114" s="332"/>
      <c r="AA114" s="332"/>
      <c r="AB114" s="332"/>
      <c r="AC114" s="332"/>
      <c r="AD114" s="332"/>
    </row>
    <row r="115" spans="1:30" ht="18" customHeight="1">
      <c r="A115" s="333"/>
      <c r="B115" s="326"/>
      <c r="C115" s="330"/>
      <c r="D115" s="330"/>
      <c r="E115" s="326"/>
      <c r="F115" s="326"/>
      <c r="G115" s="330"/>
      <c r="H115" s="326"/>
      <c r="I115" s="326"/>
      <c r="J115" s="330"/>
      <c r="K115" s="326"/>
      <c r="L115" s="326"/>
      <c r="M115" s="330"/>
      <c r="N115" s="330"/>
      <c r="O115" s="330"/>
      <c r="P115" s="330"/>
      <c r="Q115" s="326"/>
      <c r="R115" s="326"/>
      <c r="S115" s="330"/>
      <c r="T115" s="330"/>
      <c r="U115" s="330"/>
      <c r="V115" s="330"/>
      <c r="W115" s="330"/>
      <c r="X115" s="330"/>
      <c r="Y115" s="330"/>
      <c r="Z115" s="330"/>
      <c r="AA115" s="332"/>
      <c r="AB115" s="332"/>
      <c r="AC115" s="332"/>
      <c r="AD115" s="332"/>
    </row>
    <row r="116" spans="1:30" ht="18" customHeight="1">
      <c r="A116" s="330"/>
      <c r="B116" s="326"/>
      <c r="C116" s="326"/>
      <c r="D116" s="330"/>
      <c r="E116" s="330"/>
      <c r="F116" s="330"/>
      <c r="G116" s="330"/>
      <c r="H116" s="326"/>
      <c r="I116" s="326"/>
      <c r="J116" s="330"/>
      <c r="K116" s="330"/>
      <c r="L116" s="330"/>
      <c r="M116" s="330"/>
      <c r="N116" s="330"/>
      <c r="O116" s="330"/>
      <c r="P116" s="330"/>
      <c r="Q116" s="326"/>
      <c r="R116" s="326"/>
      <c r="S116" s="330"/>
      <c r="T116" s="330"/>
      <c r="U116" s="330"/>
      <c r="V116" s="330"/>
      <c r="W116" s="330"/>
      <c r="X116" s="330"/>
      <c r="Y116" s="330"/>
      <c r="Z116" s="330"/>
      <c r="AA116" s="332"/>
      <c r="AB116" s="332"/>
      <c r="AC116" s="332"/>
      <c r="AD116" s="332"/>
    </row>
    <row r="117" spans="1:30" ht="18" customHeight="1">
      <c r="A117" s="330"/>
      <c r="B117" s="330"/>
      <c r="C117" s="326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2"/>
      <c r="AB117" s="332"/>
      <c r="AC117" s="332"/>
      <c r="AD117" s="332"/>
    </row>
    <row r="118" spans="1:30" ht="18" customHeight="1">
      <c r="A118" s="330"/>
      <c r="B118" s="330"/>
      <c r="C118" s="330"/>
      <c r="D118" s="326"/>
      <c r="E118" s="326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2"/>
      <c r="AB118" s="332"/>
      <c r="AC118" s="332"/>
      <c r="AD118" s="332"/>
    </row>
    <row r="119" spans="1:30" ht="18" customHeight="1">
      <c r="A119" s="330"/>
      <c r="B119" s="331"/>
      <c r="C119" s="331"/>
      <c r="D119" s="331"/>
      <c r="E119" s="331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2"/>
      <c r="AB119" s="332"/>
      <c r="AC119" s="332"/>
      <c r="AD119" s="332"/>
    </row>
    <row r="120" spans="1:30" ht="18" customHeight="1">
      <c r="A120" s="330"/>
      <c r="B120" s="330"/>
      <c r="C120" s="334"/>
      <c r="D120" s="330"/>
      <c r="E120" s="330"/>
      <c r="F120" s="331"/>
      <c r="G120" s="331"/>
      <c r="H120" s="331"/>
      <c r="I120" s="331"/>
      <c r="J120" s="331"/>
      <c r="K120" s="331"/>
      <c r="L120" s="331"/>
      <c r="M120" s="331"/>
      <c r="N120" s="331"/>
      <c r="O120" s="331"/>
      <c r="P120" s="330"/>
      <c r="Q120" s="330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2"/>
      <c r="AB120" s="332"/>
      <c r="AC120" s="332"/>
      <c r="AD120" s="332"/>
    </row>
    <row r="121" spans="1:30" ht="18" customHeight="1">
      <c r="A121" s="330"/>
      <c r="B121" s="326"/>
      <c r="C121" s="335"/>
      <c r="D121" s="330"/>
      <c r="E121" s="326"/>
      <c r="F121" s="326"/>
      <c r="G121" s="331"/>
      <c r="H121" s="331"/>
      <c r="I121" s="331"/>
      <c r="J121" s="330"/>
      <c r="K121" s="326"/>
      <c r="L121" s="326"/>
      <c r="M121" s="330"/>
      <c r="N121" s="330"/>
      <c r="O121" s="330"/>
      <c r="P121" s="330"/>
      <c r="Q121" s="330"/>
      <c r="R121" s="330"/>
      <c r="S121" s="330"/>
      <c r="T121" s="326"/>
      <c r="U121" s="326"/>
      <c r="V121" s="330"/>
      <c r="W121" s="330"/>
      <c r="X121" s="330"/>
      <c r="Y121" s="330"/>
      <c r="Z121" s="330"/>
      <c r="AA121" s="332"/>
      <c r="AB121" s="332"/>
      <c r="AC121" s="332"/>
      <c r="AD121" s="332"/>
    </row>
    <row r="122" spans="1:30" ht="18" customHeight="1">
      <c r="A122" s="330"/>
      <c r="B122" s="326"/>
      <c r="C122" s="335"/>
      <c r="D122" s="330"/>
      <c r="E122" s="336"/>
      <c r="F122" s="336"/>
      <c r="G122" s="331"/>
      <c r="H122" s="331"/>
      <c r="I122" s="331"/>
      <c r="J122" s="330"/>
      <c r="K122" s="326"/>
      <c r="L122" s="326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26"/>
      <c r="Y122" s="326"/>
      <c r="Z122" s="326"/>
      <c r="AA122" s="332"/>
      <c r="AB122" s="332"/>
      <c r="AC122" s="332"/>
      <c r="AD122" s="332"/>
    </row>
    <row r="123" spans="1:30" ht="18" customHeight="1">
      <c r="A123" s="330"/>
      <c r="B123" s="330"/>
      <c r="C123" s="335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  <c r="AC123" s="330"/>
      <c r="AD123" s="330"/>
    </row>
    <row r="124" spans="1:32" ht="18" customHeight="1">
      <c r="A124" s="331"/>
      <c r="B124" s="331"/>
      <c r="C124" s="335"/>
      <c r="D124" s="326"/>
      <c r="E124" s="326"/>
      <c r="F124" s="331"/>
      <c r="G124" s="331"/>
      <c r="H124" s="331"/>
      <c r="I124" s="331"/>
      <c r="J124" s="331"/>
      <c r="K124" s="331"/>
      <c r="L124" s="331"/>
      <c r="M124" s="330"/>
      <c r="N124" s="330"/>
      <c r="O124" s="330"/>
      <c r="P124" s="330"/>
      <c r="Q124" s="330"/>
      <c r="R124" s="330"/>
      <c r="S124" s="330"/>
      <c r="T124" s="330"/>
      <c r="U124" s="326"/>
      <c r="V124" s="326"/>
      <c r="W124" s="330"/>
      <c r="X124" s="330"/>
      <c r="Y124" s="330"/>
      <c r="Z124" s="330"/>
      <c r="AA124" s="326"/>
      <c r="AB124" s="326"/>
      <c r="AC124" s="326"/>
      <c r="AD124" s="326"/>
      <c r="AE124" s="335"/>
      <c r="AF124" s="335"/>
    </row>
    <row r="125" spans="1:32" ht="18" customHeight="1">
      <c r="A125" s="330"/>
      <c r="B125" s="335"/>
      <c r="C125" s="335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5"/>
      <c r="T125" s="335"/>
      <c r="U125" s="335"/>
      <c r="V125" s="335"/>
      <c r="W125" s="335"/>
      <c r="X125" s="335"/>
      <c r="Y125" s="335"/>
      <c r="Z125" s="335"/>
      <c r="AA125" s="330"/>
      <c r="AB125" s="330"/>
      <c r="AC125" s="330"/>
      <c r="AD125" s="330"/>
      <c r="AE125" s="335"/>
      <c r="AF125" s="335"/>
    </row>
    <row r="126" spans="1:32" ht="18" customHeight="1">
      <c r="A126" s="330"/>
      <c r="B126" s="335"/>
      <c r="C126" s="335"/>
      <c r="D126" s="335"/>
      <c r="E126" s="335"/>
      <c r="F126" s="335"/>
      <c r="G126" s="335"/>
      <c r="H126" s="335"/>
      <c r="I126" s="335"/>
      <c r="J126" s="335"/>
      <c r="K126" s="335"/>
      <c r="L126" s="334"/>
      <c r="M126" s="334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0"/>
      <c r="AB126" s="330"/>
      <c r="AC126" s="330"/>
      <c r="AD126" s="330"/>
      <c r="AE126" s="335"/>
      <c r="AF126" s="335"/>
    </row>
    <row r="127" spans="1:32" ht="18" customHeight="1">
      <c r="A127" s="330"/>
      <c r="B127" s="335"/>
      <c r="C127" s="335"/>
      <c r="D127" s="335"/>
      <c r="E127" s="335"/>
      <c r="F127" s="335"/>
      <c r="G127" s="335"/>
      <c r="H127" s="335"/>
      <c r="I127" s="335"/>
      <c r="J127" s="335"/>
      <c r="K127" s="335"/>
      <c r="L127" s="334"/>
      <c r="M127" s="334"/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  <c r="AC127" s="335"/>
      <c r="AD127" s="335"/>
      <c r="AE127" s="335"/>
      <c r="AF127" s="335"/>
    </row>
    <row r="128" spans="1:32" ht="18" customHeight="1">
      <c r="A128" s="330"/>
      <c r="B128" s="335"/>
      <c r="C128" s="335"/>
      <c r="D128" s="335"/>
      <c r="E128" s="335"/>
      <c r="F128" s="335"/>
      <c r="G128" s="337"/>
      <c r="H128" s="337"/>
      <c r="I128" s="335"/>
      <c r="J128" s="337"/>
      <c r="K128" s="337"/>
      <c r="L128" s="335"/>
      <c r="M128" s="338"/>
      <c r="N128" s="338"/>
      <c r="O128" s="335"/>
      <c r="P128" s="339"/>
      <c r="Q128" s="339"/>
      <c r="R128" s="335"/>
      <c r="S128" s="338"/>
      <c r="T128" s="338"/>
      <c r="U128" s="335"/>
      <c r="V128" s="335"/>
      <c r="W128" s="335"/>
      <c r="X128" s="335"/>
      <c r="Y128" s="335"/>
      <c r="Z128" s="335"/>
      <c r="AA128" s="335"/>
      <c r="AB128" s="335"/>
      <c r="AC128" s="335"/>
      <c r="AD128" s="335"/>
      <c r="AE128" s="335"/>
      <c r="AF128" s="335"/>
    </row>
    <row r="129" spans="1:32" ht="18" customHeight="1">
      <c r="A129" s="330"/>
      <c r="B129" s="335"/>
      <c r="C129" s="335"/>
      <c r="D129" s="335"/>
      <c r="E129" s="335"/>
      <c r="F129" s="335"/>
      <c r="G129" s="337"/>
      <c r="H129" s="337"/>
      <c r="I129" s="335"/>
      <c r="J129" s="340"/>
      <c r="K129" s="340"/>
      <c r="L129" s="335"/>
      <c r="M129" s="341"/>
      <c r="N129" s="341"/>
      <c r="O129" s="335"/>
      <c r="P129" s="339"/>
      <c r="Q129" s="339"/>
      <c r="R129" s="335"/>
      <c r="S129" s="341"/>
      <c r="T129" s="341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</row>
    <row r="130" spans="1:32" ht="13.5">
      <c r="A130" s="335"/>
      <c r="B130" s="335"/>
      <c r="C130" s="3"/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</row>
    <row r="131" spans="1:30" ht="13.5">
      <c r="A131" s="335"/>
      <c r="B131" s="335"/>
      <c r="C131" s="3"/>
      <c r="D131" s="335"/>
      <c r="E131" s="335"/>
      <c r="F131" s="339"/>
      <c r="G131" s="339"/>
      <c r="H131" s="335"/>
      <c r="I131" s="335"/>
      <c r="J131" s="335"/>
      <c r="K131" s="335"/>
      <c r="L131" s="335"/>
      <c r="M131" s="337"/>
      <c r="N131" s="337"/>
      <c r="O131" s="335"/>
      <c r="P131" s="335"/>
      <c r="Q131" s="335"/>
      <c r="R131" s="342"/>
      <c r="S131" s="342"/>
      <c r="T131" s="335"/>
      <c r="U131" s="340"/>
      <c r="V131" s="335"/>
      <c r="W131" s="335"/>
      <c r="X131" s="335"/>
      <c r="Y131" s="335"/>
      <c r="Z131" s="335"/>
      <c r="AA131" s="335"/>
      <c r="AB131" s="335"/>
      <c r="AC131" s="335"/>
      <c r="AD131" s="335"/>
    </row>
    <row r="132" spans="1:33" ht="13.5">
      <c r="A132" s="335"/>
      <c r="B132" s="335"/>
      <c r="D132" s="335"/>
      <c r="U132" s="335"/>
      <c r="V132" s="335"/>
      <c r="AA132" s="335"/>
      <c r="AB132" s="335"/>
      <c r="AC132" s="335"/>
      <c r="AD132" s="335"/>
      <c r="AE132" s="262"/>
      <c r="AF132" s="262"/>
      <c r="AG132" s="262"/>
    </row>
    <row r="133" spans="1:33" ht="13.5">
      <c r="A133" s="335"/>
      <c r="B133" s="335"/>
      <c r="D133" s="343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262"/>
      <c r="AF133" s="262"/>
      <c r="AG133" s="262"/>
    </row>
    <row r="134" spans="1:26" ht="13.5">
      <c r="A134" s="335"/>
      <c r="B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Z134" s="335"/>
    </row>
    <row r="135" spans="1:30" ht="13.5">
      <c r="A135" s="335"/>
      <c r="B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35"/>
      <c r="AB135" s="335"/>
      <c r="AC135" s="335"/>
      <c r="AD135" s="335"/>
    </row>
    <row r="136" spans="1:30" ht="13.5">
      <c r="A136" s="335"/>
      <c r="B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35"/>
      <c r="AB136" s="335"/>
      <c r="AC136" s="335"/>
      <c r="AD136" s="335"/>
    </row>
    <row r="137" spans="1:30" ht="13.5">
      <c r="A137" s="335"/>
      <c r="AA137" s="3"/>
      <c r="AB137" s="3"/>
      <c r="AC137" s="3"/>
      <c r="AD137" s="3"/>
    </row>
    <row r="138" spans="1:30" ht="13.5">
      <c r="A138" s="335"/>
      <c r="AA138" s="3"/>
      <c r="AB138" s="3"/>
      <c r="AC138" s="3"/>
      <c r="AD138" s="3"/>
    </row>
    <row r="139" ht="13.5">
      <c r="A139" s="335"/>
    </row>
    <row r="140" ht="13.5">
      <c r="A140" s="3"/>
    </row>
    <row r="141" ht="13.5">
      <c r="A141" s="3"/>
    </row>
  </sheetData>
  <sheetProtection sheet="1" objects="1" scenarios="1"/>
  <mergeCells count="150">
    <mergeCell ref="Q31:T31"/>
    <mergeCell ref="AH5:AH6"/>
    <mergeCell ref="AN5:AN6"/>
    <mergeCell ref="AI40:AI41"/>
    <mergeCell ref="AJ40:AJ41"/>
    <mergeCell ref="AK40:AK41"/>
    <mergeCell ref="AC5:AD6"/>
    <mergeCell ref="AC8:AD8"/>
    <mergeCell ref="Y17:Z17"/>
    <mergeCell ref="I86:J86"/>
    <mergeCell ref="AE5:AF6"/>
    <mergeCell ref="AC7:AD7"/>
    <mergeCell ref="AE7:AF7"/>
    <mergeCell ref="AE8:AF8"/>
    <mergeCell ref="Z36:Z37"/>
    <mergeCell ref="P32:Q32"/>
    <mergeCell ref="U35:U36"/>
    <mergeCell ref="U28:V28"/>
    <mergeCell ref="Y16:Z16"/>
    <mergeCell ref="V89:X89"/>
    <mergeCell ref="V90:X90"/>
    <mergeCell ref="V87:X88"/>
    <mergeCell ref="Y87:Y88"/>
    <mergeCell ref="I105:J105"/>
    <mergeCell ref="M105:N105"/>
    <mergeCell ref="N91:N92"/>
    <mergeCell ref="I100:J101"/>
    <mergeCell ref="K100:K101"/>
    <mergeCell ref="I104:J104"/>
    <mergeCell ref="L100:M100"/>
    <mergeCell ref="I102:J102"/>
    <mergeCell ref="L101:M101"/>
    <mergeCell ref="J96:K96"/>
    <mergeCell ref="D87:F88"/>
    <mergeCell ref="O87:P88"/>
    <mergeCell ref="I88:J88"/>
    <mergeCell ref="L88:M88"/>
    <mergeCell ref="L87:M87"/>
    <mergeCell ref="N87:N88"/>
    <mergeCell ref="AH60:AI60"/>
    <mergeCell ref="AH69:AI69"/>
    <mergeCell ref="T79:U79"/>
    <mergeCell ref="U85:U86"/>
    <mergeCell ref="S69:T69"/>
    <mergeCell ref="T64:V64"/>
    <mergeCell ref="Y85:Y86"/>
    <mergeCell ref="V85:X86"/>
    <mergeCell ref="G75:H75"/>
    <mergeCell ref="G72:H72"/>
    <mergeCell ref="L69:M69"/>
    <mergeCell ref="V91:X92"/>
    <mergeCell ref="U87:U88"/>
    <mergeCell ref="I89:J89"/>
    <mergeCell ref="O91:P92"/>
    <mergeCell ref="L89:M89"/>
    <mergeCell ref="J79:K79"/>
    <mergeCell ref="M79:N79"/>
    <mergeCell ref="K85:K86"/>
    <mergeCell ref="J6:L6"/>
    <mergeCell ref="T80:U80"/>
    <mergeCell ref="L73:N73"/>
    <mergeCell ref="P73:Q73"/>
    <mergeCell ref="O61:Q61"/>
    <mergeCell ref="L71:M71"/>
    <mergeCell ref="I85:J85"/>
    <mergeCell ref="J80:K80"/>
    <mergeCell ref="O69:Q69"/>
    <mergeCell ref="W3:X3"/>
    <mergeCell ref="X43:Y43"/>
    <mergeCell ref="L52:M52"/>
    <mergeCell ref="X44:Y44"/>
    <mergeCell ref="W4:X4"/>
    <mergeCell ref="X42:Y42"/>
    <mergeCell ref="X41:Y41"/>
    <mergeCell ref="W5:X5"/>
    <mergeCell ref="Q30:T30"/>
    <mergeCell ref="K31:P31"/>
    <mergeCell ref="Q80:R80"/>
    <mergeCell ref="Y98:Y99"/>
    <mergeCell ref="L99:M99"/>
    <mergeCell ref="O85:P86"/>
    <mergeCell ref="N85:N86"/>
    <mergeCell ref="L85:M85"/>
    <mergeCell ref="L86:M86"/>
    <mergeCell ref="M80:N80"/>
    <mergeCell ref="Y91:Y92"/>
    <mergeCell ref="U91:U92"/>
    <mergeCell ref="V102:X102"/>
    <mergeCell ref="I98:J99"/>
    <mergeCell ref="N100:N101"/>
    <mergeCell ref="O100:P101"/>
    <mergeCell ref="V100:X101"/>
    <mergeCell ref="L102:M102"/>
    <mergeCell ref="O102:P102"/>
    <mergeCell ref="V106:X106"/>
    <mergeCell ref="M104:N104"/>
    <mergeCell ref="P104:Q104"/>
    <mergeCell ref="V104:X104"/>
    <mergeCell ref="V105:X105"/>
    <mergeCell ref="P105:Q105"/>
    <mergeCell ref="D98:F99"/>
    <mergeCell ref="K98:K99"/>
    <mergeCell ref="L98:M98"/>
    <mergeCell ref="K83:L83"/>
    <mergeCell ref="D85:F86"/>
    <mergeCell ref="D91:F92"/>
    <mergeCell ref="I92:J92"/>
    <mergeCell ref="K91:K92"/>
    <mergeCell ref="L91:M92"/>
    <mergeCell ref="I91:J91"/>
    <mergeCell ref="V103:X103"/>
    <mergeCell ref="H67:N67"/>
    <mergeCell ref="V93:X93"/>
    <mergeCell ref="N98:N99"/>
    <mergeCell ref="O98:P99"/>
    <mergeCell ref="U98:U99"/>
    <mergeCell ref="V98:X99"/>
    <mergeCell ref="Q79:R79"/>
    <mergeCell ref="K87:K88"/>
    <mergeCell ref="I87:J87"/>
    <mergeCell ref="F29:G29"/>
    <mergeCell ref="W7:X7"/>
    <mergeCell ref="P56:Q56"/>
    <mergeCell ref="S52:T52"/>
    <mergeCell ref="O52:Q52"/>
    <mergeCell ref="H50:N50"/>
    <mergeCell ref="L54:M54"/>
    <mergeCell ref="H52:J52"/>
    <mergeCell ref="L56:N56"/>
    <mergeCell ref="G55:H55"/>
    <mergeCell ref="K64:M64"/>
    <mergeCell ref="W6:X6"/>
    <mergeCell ref="G8:H8"/>
    <mergeCell ref="I28:J28"/>
    <mergeCell ref="O28:P28"/>
    <mergeCell ref="R28:S28"/>
    <mergeCell ref="K22:M22"/>
    <mergeCell ref="L28:M28"/>
    <mergeCell ref="L23:M23"/>
    <mergeCell ref="F30:G30"/>
    <mergeCell ref="H69:J69"/>
    <mergeCell ref="G58:H58"/>
    <mergeCell ref="D11:D13"/>
    <mergeCell ref="F17:F18"/>
    <mergeCell ref="F13:F14"/>
    <mergeCell ref="E14:E16"/>
    <mergeCell ref="D16:D17"/>
    <mergeCell ref="I63:J63"/>
    <mergeCell ref="F31:G31"/>
    <mergeCell ref="F32:G32"/>
  </mergeCells>
  <dataValidations count="8">
    <dataValidation type="list" allowBlank="1" showInputMessage="1" showErrorMessage="1" sqref="H50:N50 H67:N67">
      <formula1>$AH$52:$AH$56</formula1>
    </dataValidation>
    <dataValidation type="list" allowBlank="1" showInputMessage="1" showErrorMessage="1" sqref="K31:O31">
      <formula1>$AI$6:$AM$6</formula1>
    </dataValidation>
    <dataValidation type="list" allowBlank="1" showInputMessage="1" showErrorMessage="1" sqref="Q31:T31">
      <formula1>$AH$7:$AH$14</formula1>
    </dataValidation>
    <dataValidation type="list" allowBlank="1" showInputMessage="1" showErrorMessage="1" sqref="Q30:T30">
      <formula1>$AH$20:$AH$29</formula1>
    </dataValidation>
    <dataValidation type="list" allowBlank="1" showInputMessage="1" showErrorMessage="1" sqref="P32:Q32">
      <formula1>$AC$37:$AC$38</formula1>
    </dataValidation>
    <dataValidation type="list" allowBlank="1" showInputMessage="1" showErrorMessage="1" sqref="T83">
      <formula1>$AC$83:$AC$84</formula1>
    </dataValidation>
    <dataValidation type="list" allowBlank="1" showInputMessage="1" showErrorMessage="1" sqref="W4:X4">
      <formula1>$AE$10:$AE$20</formula1>
    </dataValidation>
    <dataValidation type="list" allowBlank="1" showInputMessage="1" showErrorMessage="1" sqref="W7">
      <formula1>$AD$10:$AD$18</formula1>
    </dataValidation>
  </dataValidations>
  <printOptions/>
  <pageMargins left="0.69" right="0.3937007874015748" top="0.4" bottom="0.66" header="0" footer="0.11811023622047245"/>
  <pageSetup horizontalDpi="300" verticalDpi="3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98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6" width="3.3984375" style="2" customWidth="1"/>
    <col min="7" max="7" width="3.59765625" style="2" customWidth="1"/>
    <col min="8" max="28" width="3.3984375" style="2" customWidth="1"/>
    <col min="29" max="29" width="12.3984375" style="2" customWidth="1"/>
    <col min="30" max="62" width="3.3984375" style="2" customWidth="1"/>
    <col min="63" max="16384" width="4.69921875" style="2" customWidth="1"/>
  </cols>
  <sheetData>
    <row r="1" ht="24" customHeight="1">
      <c r="B1" s="488" t="s">
        <v>723</v>
      </c>
    </row>
    <row r="2" spans="1:37" s="332" customFormat="1" ht="18" customHeight="1">
      <c r="A2" s="244"/>
      <c r="B2" s="486" t="s">
        <v>718</v>
      </c>
      <c r="C2" s="344"/>
      <c r="D2" s="244"/>
      <c r="E2" s="244"/>
      <c r="F2" s="244"/>
      <c r="G2" s="244"/>
      <c r="H2" s="244"/>
      <c r="I2" s="244"/>
      <c r="J2" s="244"/>
      <c r="K2" s="244"/>
      <c r="L2" s="244"/>
      <c r="M2" s="26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64"/>
      <c r="AC2" s="244"/>
      <c r="AD2" s="242"/>
      <c r="AE2" s="242"/>
      <c r="AF2" s="242"/>
      <c r="AG2" s="242"/>
      <c r="AH2" s="242"/>
      <c r="AI2" s="345"/>
      <c r="AJ2" s="345"/>
      <c r="AK2" s="345"/>
    </row>
    <row r="3" spans="1:37" s="332" customFormat="1" ht="18" customHeight="1">
      <c r="A3" s="244"/>
      <c r="B3" s="244"/>
      <c r="C3" s="344"/>
      <c r="D3" s="244"/>
      <c r="E3" s="244"/>
      <c r="F3" s="244"/>
      <c r="G3" s="244"/>
      <c r="H3" s="244"/>
      <c r="I3" s="244"/>
      <c r="J3" s="244"/>
      <c r="K3" s="244"/>
      <c r="L3" s="244"/>
      <c r="M3" s="26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64"/>
      <c r="AC3" s="244"/>
      <c r="AD3" s="242"/>
      <c r="AE3" s="242"/>
      <c r="AF3" s="242"/>
      <c r="AG3" s="242"/>
      <c r="AH3" s="242"/>
      <c r="AI3" s="345"/>
      <c r="AJ3" s="345"/>
      <c r="AK3" s="345"/>
    </row>
    <row r="4" spans="1:37" s="332" customFormat="1" ht="18" customHeight="1">
      <c r="A4" s="244"/>
      <c r="C4" s="38"/>
      <c r="D4" s="15"/>
      <c r="E4" s="15"/>
      <c r="F4" s="15"/>
      <c r="G4" s="244"/>
      <c r="H4" s="244"/>
      <c r="I4" s="244"/>
      <c r="J4" s="244"/>
      <c r="K4" s="244"/>
      <c r="L4" s="244"/>
      <c r="M4" s="26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64"/>
      <c r="AC4" s="244"/>
      <c r="AD4" s="242"/>
      <c r="AE4" s="242"/>
      <c r="AF4" s="242"/>
      <c r="AG4" s="242"/>
      <c r="AH4" s="242"/>
      <c r="AI4" s="345"/>
      <c r="AJ4" s="345"/>
      <c r="AK4" s="345"/>
    </row>
    <row r="5" spans="1:37" ht="18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66"/>
      <c r="AE5" s="66"/>
      <c r="AF5" s="38"/>
      <c r="AG5" s="38"/>
      <c r="AH5" s="38"/>
      <c r="AI5" s="14"/>
      <c r="AJ5" s="14"/>
      <c r="AK5" s="14"/>
    </row>
    <row r="6" spans="1:37" ht="18" customHeight="1">
      <c r="A6" s="38"/>
      <c r="B6" s="38"/>
      <c r="C6" s="15" t="s">
        <v>508</v>
      </c>
      <c r="D6" s="15"/>
      <c r="E6" s="15"/>
      <c r="F6" s="15"/>
      <c r="G6" s="15"/>
      <c r="H6" s="570" t="s">
        <v>136</v>
      </c>
      <c r="I6" s="570"/>
      <c r="J6" s="570"/>
      <c r="K6" s="570"/>
      <c r="L6" s="15"/>
      <c r="M6" s="18" t="s">
        <v>70</v>
      </c>
      <c r="N6" s="572">
        <f>VLOOKUP($H$6,'使用材一覧'!$AC$33:$AH$34,2,FALSE)</f>
        <v>7</v>
      </c>
      <c r="O6" s="572"/>
      <c r="P6" s="15" t="s">
        <v>69</v>
      </c>
      <c r="Q6" s="18" t="s">
        <v>71</v>
      </c>
      <c r="R6" s="18"/>
      <c r="S6" s="38"/>
      <c r="T6" s="38"/>
      <c r="U6" s="38"/>
      <c r="V6" s="38"/>
      <c r="W6" s="38"/>
      <c r="X6" s="38"/>
      <c r="Y6" s="38"/>
      <c r="Z6" s="38"/>
      <c r="AA6" s="38"/>
      <c r="AB6" s="38"/>
      <c r="AC6" s="575" t="s">
        <v>158</v>
      </c>
      <c r="AD6" s="38"/>
      <c r="AE6" s="38"/>
      <c r="AF6" s="38"/>
      <c r="AG6" s="38"/>
      <c r="AH6" s="38"/>
      <c r="AI6" s="14"/>
      <c r="AJ6" s="14"/>
      <c r="AK6" s="14"/>
    </row>
    <row r="7" spans="1:37" ht="18" customHeight="1">
      <c r="A7" s="38"/>
      <c r="B7" s="38"/>
      <c r="C7" s="15"/>
      <c r="D7" s="15" t="s">
        <v>72</v>
      </c>
      <c r="E7" s="15"/>
      <c r="F7" s="15"/>
      <c r="G7" s="15"/>
      <c r="H7" s="29"/>
      <c r="I7" s="15"/>
      <c r="J7" s="15"/>
      <c r="K7" s="588" t="s">
        <v>509</v>
      </c>
      <c r="L7" s="569"/>
      <c r="M7" s="581">
        <f>VLOOKUP($H$6,'使用材一覧'!$AC$33:$AH$34,3,FALSE)</f>
        <v>11800</v>
      </c>
      <c r="N7" s="581"/>
      <c r="O7" s="590"/>
      <c r="P7" s="15"/>
      <c r="Q7" s="15" t="s">
        <v>510</v>
      </c>
      <c r="R7" s="15"/>
      <c r="S7" s="38"/>
      <c r="T7" s="38"/>
      <c r="U7" s="38"/>
      <c r="V7" s="38"/>
      <c r="W7" s="38"/>
      <c r="X7" s="38"/>
      <c r="Y7" s="38"/>
      <c r="Z7" s="38"/>
      <c r="AA7" s="38"/>
      <c r="AB7" s="38"/>
      <c r="AC7" s="576"/>
      <c r="AD7" s="38"/>
      <c r="AE7" s="38"/>
      <c r="AF7" s="38"/>
      <c r="AG7" s="38"/>
      <c r="AH7" s="38"/>
      <c r="AI7" s="14"/>
      <c r="AJ7" s="14"/>
      <c r="AK7" s="14"/>
    </row>
    <row r="8" spans="1:37" ht="18" customHeight="1">
      <c r="A8" s="38"/>
      <c r="B8" s="38"/>
      <c r="C8" s="15"/>
      <c r="D8" s="15" t="s">
        <v>73</v>
      </c>
      <c r="E8" s="15"/>
      <c r="F8" s="15"/>
      <c r="G8" s="15"/>
      <c r="H8" s="15"/>
      <c r="I8" s="15"/>
      <c r="J8" s="15"/>
      <c r="K8" s="588" t="s">
        <v>511</v>
      </c>
      <c r="L8" s="588"/>
      <c r="M8" s="820">
        <v>5</v>
      </c>
      <c r="N8" s="820"/>
      <c r="O8" s="821"/>
      <c r="P8" s="15"/>
      <c r="Q8" s="15"/>
      <c r="R8" s="15"/>
      <c r="S8" s="38"/>
      <c r="T8" s="38"/>
      <c r="U8" s="38"/>
      <c r="V8" s="38"/>
      <c r="W8" s="38"/>
      <c r="X8" s="38"/>
      <c r="Y8" s="38"/>
      <c r="Z8" s="38"/>
      <c r="AA8" s="38"/>
      <c r="AB8" s="38"/>
      <c r="AC8" s="150" t="s">
        <v>135</v>
      </c>
      <c r="AD8" s="38"/>
      <c r="AE8" s="38"/>
      <c r="AF8" s="38"/>
      <c r="AG8" s="38"/>
      <c r="AH8" s="38"/>
      <c r="AI8" s="14"/>
      <c r="AJ8" s="14"/>
      <c r="AK8" s="14"/>
    </row>
    <row r="9" spans="1:37" ht="18" customHeight="1">
      <c r="A9" s="38"/>
      <c r="B9" s="38"/>
      <c r="C9" s="15"/>
      <c r="D9" s="15" t="s">
        <v>74</v>
      </c>
      <c r="E9" s="15"/>
      <c r="F9" s="15"/>
      <c r="G9" s="15"/>
      <c r="H9" s="15"/>
      <c r="I9" s="15"/>
      <c r="J9" s="15"/>
      <c r="K9" s="588" t="s">
        <v>512</v>
      </c>
      <c r="L9" s="588"/>
      <c r="M9" s="581">
        <f>VLOOKUP($H$6,'使用材一覧'!$AC$33:$AH$34,5,FALSE)</f>
        <v>4250</v>
      </c>
      <c r="N9" s="581"/>
      <c r="O9" s="542"/>
      <c r="P9" s="15"/>
      <c r="Q9" s="15" t="s">
        <v>503</v>
      </c>
      <c r="R9" s="15"/>
      <c r="S9" s="38"/>
      <c r="T9" s="38"/>
      <c r="U9" s="38"/>
      <c r="V9" s="38"/>
      <c r="W9" s="38"/>
      <c r="X9" s="38"/>
      <c r="Y9" s="38"/>
      <c r="Z9" s="38"/>
      <c r="AA9" s="38"/>
      <c r="AB9" s="38"/>
      <c r="AC9" s="151" t="s">
        <v>136</v>
      </c>
      <c r="AD9" s="38"/>
      <c r="AE9" s="38"/>
      <c r="AF9" s="38"/>
      <c r="AG9" s="38"/>
      <c r="AH9" s="38"/>
      <c r="AI9" s="14"/>
      <c r="AJ9" s="14"/>
      <c r="AK9" s="14"/>
    </row>
    <row r="10" spans="1:37" ht="18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14"/>
      <c r="AJ10" s="14"/>
      <c r="AK10" s="14"/>
    </row>
    <row r="11" spans="1:37" ht="18" customHeight="1">
      <c r="A11" s="15"/>
      <c r="B11" s="38"/>
      <c r="C11" s="38"/>
      <c r="D11" s="38"/>
      <c r="E11" s="38"/>
      <c r="F11" s="3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66"/>
      <c r="AE11" s="66"/>
      <c r="AF11" s="38"/>
      <c r="AG11" s="38"/>
      <c r="AH11" s="38"/>
      <c r="AI11" s="14"/>
      <c r="AJ11" s="14"/>
      <c r="AK11" s="14"/>
    </row>
    <row r="12" spans="1:37" ht="18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816">
        <f>'朝顔'!$D$16+'朝顔'!$D$11</f>
        <v>2000</v>
      </c>
      <c r="Z12" s="15"/>
      <c r="AA12" s="15"/>
      <c r="AB12" s="15"/>
      <c r="AC12" s="15"/>
      <c r="AD12" s="66"/>
      <c r="AE12" s="66"/>
      <c r="AF12" s="38"/>
      <c r="AG12" s="38"/>
      <c r="AH12" s="38"/>
      <c r="AI12" s="14"/>
      <c r="AJ12" s="14"/>
      <c r="AK12" s="14"/>
    </row>
    <row r="13" spans="1:67" ht="18" customHeight="1">
      <c r="A13" s="15"/>
      <c r="B13" s="15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8"/>
      <c r="T13" s="18"/>
      <c r="U13" s="541">
        <f>SQRT($V$17^2+$Y$12^2)</f>
        <v>2500</v>
      </c>
      <c r="V13" s="541"/>
      <c r="W13" s="541"/>
      <c r="X13" s="15"/>
      <c r="Y13" s="816"/>
      <c r="Z13" s="15"/>
      <c r="AA13" s="15"/>
      <c r="AB13" s="66"/>
      <c r="AC13" s="15"/>
      <c r="AD13" s="112"/>
      <c r="AE13" s="112"/>
      <c r="AF13" s="112"/>
      <c r="AG13" s="346"/>
      <c r="AH13" s="346"/>
      <c r="AI13" s="347"/>
      <c r="AJ13" s="348"/>
      <c r="AK13" s="349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ht="18" customHeight="1">
      <c r="A14" s="15"/>
      <c r="B14" s="15"/>
      <c r="C14" s="15"/>
      <c r="D14" s="15" t="s">
        <v>513</v>
      </c>
      <c r="E14" s="15"/>
      <c r="F14" s="15"/>
      <c r="G14" s="15"/>
      <c r="H14" s="15"/>
      <c r="I14" s="15"/>
      <c r="J14" s="690">
        <f>'朝顔'!$Y$16</f>
        <v>850</v>
      </c>
      <c r="K14" s="691"/>
      <c r="L14" s="691"/>
      <c r="M14" s="15" t="s">
        <v>514</v>
      </c>
      <c r="N14" s="15"/>
      <c r="O14" s="15"/>
      <c r="P14" s="38"/>
      <c r="Q14" s="38"/>
      <c r="R14" s="38"/>
      <c r="S14" s="15"/>
      <c r="T14" s="146"/>
      <c r="U14" s="541"/>
      <c r="V14" s="541"/>
      <c r="W14" s="541"/>
      <c r="X14" s="15"/>
      <c r="Y14" s="816"/>
      <c r="Z14" s="15"/>
      <c r="AA14" s="15"/>
      <c r="AB14" s="66"/>
      <c r="AC14" s="15"/>
      <c r="AD14" s="136"/>
      <c r="AE14" s="136"/>
      <c r="AF14" s="136"/>
      <c r="AG14" s="136"/>
      <c r="AH14" s="136"/>
      <c r="AI14" s="347"/>
      <c r="AJ14" s="347"/>
      <c r="AK14" s="347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 ht="18" customHeight="1">
      <c r="A15" s="15"/>
      <c r="B15" s="15"/>
      <c r="C15" s="15"/>
      <c r="D15" s="15" t="s">
        <v>515</v>
      </c>
      <c r="E15" s="15"/>
      <c r="F15" s="15"/>
      <c r="G15" s="541">
        <f>'足場板'!$R$32</f>
        <v>1860</v>
      </c>
      <c r="H15" s="541"/>
      <c r="I15" s="15" t="s">
        <v>516</v>
      </c>
      <c r="J15" s="15"/>
      <c r="K15" s="15"/>
      <c r="L15" s="15"/>
      <c r="M15" s="15"/>
      <c r="N15" s="15"/>
      <c r="O15" s="15"/>
      <c r="P15" s="168"/>
      <c r="Q15" s="163"/>
      <c r="R15" s="163"/>
      <c r="S15" s="15"/>
      <c r="T15" s="15"/>
      <c r="U15" s="15"/>
      <c r="V15" s="15"/>
      <c r="W15" s="15"/>
      <c r="X15" s="15"/>
      <c r="Y15" s="816"/>
      <c r="Z15" s="15"/>
      <c r="AA15" s="15"/>
      <c r="AB15" s="66"/>
      <c r="AC15" s="148"/>
      <c r="AD15" s="136"/>
      <c r="AE15" s="136"/>
      <c r="AF15" s="136"/>
      <c r="AG15" s="136"/>
      <c r="AH15" s="136"/>
      <c r="AI15" s="347"/>
      <c r="AJ15" s="347"/>
      <c r="AK15" s="347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ht="18" customHeight="1">
      <c r="A16" s="15"/>
      <c r="B16" s="15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146"/>
      <c r="T16" s="146"/>
      <c r="U16" s="15"/>
      <c r="V16" s="15"/>
      <c r="W16" s="15"/>
      <c r="X16" s="15"/>
      <c r="Y16" s="15"/>
      <c r="Z16" s="15"/>
      <c r="AA16" s="15"/>
      <c r="AB16" s="66"/>
      <c r="AC16" s="15"/>
      <c r="AD16" s="136"/>
      <c r="AE16" s="136"/>
      <c r="AF16" s="136"/>
      <c r="AG16" s="136"/>
      <c r="AH16" s="136"/>
      <c r="AI16" s="347"/>
      <c r="AJ16" s="347"/>
      <c r="AK16" s="347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69" ht="18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8"/>
      <c r="O17" s="91"/>
      <c r="P17" s="91"/>
      <c r="Q17" s="91"/>
      <c r="R17" s="91"/>
      <c r="S17" s="91"/>
      <c r="T17" s="15"/>
      <c r="U17" s="15"/>
      <c r="V17" s="541">
        <f>'朝顔'!$L$23</f>
        <v>1500</v>
      </c>
      <c r="W17" s="541"/>
      <c r="X17" s="541"/>
      <c r="Y17" s="15"/>
      <c r="Z17" s="15"/>
      <c r="AA17" s="15"/>
      <c r="AB17" s="15"/>
      <c r="AC17" s="15"/>
      <c r="AD17" s="66"/>
      <c r="AE17" s="15"/>
      <c r="AF17" s="136"/>
      <c r="AG17" s="136"/>
      <c r="AH17" s="136"/>
      <c r="AI17" s="347"/>
      <c r="AJ17" s="347"/>
      <c r="AK17" s="347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1:37" ht="18" customHeight="1">
      <c r="A18" s="15"/>
      <c r="B18" s="15"/>
      <c r="C18" s="15"/>
      <c r="D18" s="15"/>
      <c r="E18" s="15"/>
      <c r="F18" s="15"/>
      <c r="G18" s="15"/>
      <c r="H18" s="167"/>
      <c r="I18" s="167"/>
      <c r="J18" s="15"/>
      <c r="K18" s="15"/>
      <c r="L18" s="15"/>
      <c r="M18" s="15"/>
      <c r="N18" s="15"/>
      <c r="O18" s="15"/>
      <c r="P18" s="15"/>
      <c r="Q18" s="168"/>
      <c r="R18" s="163"/>
      <c r="S18" s="163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66"/>
      <c r="AE18" s="66"/>
      <c r="AF18" s="38"/>
      <c r="AG18" s="38"/>
      <c r="AH18" s="38"/>
      <c r="AI18" s="14"/>
      <c r="AJ18" s="14"/>
      <c r="AK18" s="14"/>
    </row>
    <row r="19" spans="1:37" ht="18" customHeight="1">
      <c r="A19" s="15"/>
      <c r="B19" s="15"/>
      <c r="C19" s="15"/>
      <c r="D19" s="662" t="s">
        <v>517</v>
      </c>
      <c r="E19" s="662"/>
      <c r="F19" s="605" t="s">
        <v>518</v>
      </c>
      <c r="G19" s="605"/>
      <c r="H19" s="541">
        <f>'朝顔'!$V$93</f>
        <v>2098</v>
      </c>
      <c r="I19" s="541"/>
      <c r="J19" s="582"/>
      <c r="K19" s="605" t="s">
        <v>519</v>
      </c>
      <c r="L19" s="541">
        <f>'朝顔'!$V$106</f>
        <v>4899</v>
      </c>
      <c r="M19" s="541"/>
      <c r="N19" s="582"/>
      <c r="O19" s="605" t="s">
        <v>520</v>
      </c>
      <c r="P19" s="814"/>
      <c r="Q19" s="817">
        <f>$J$14/1000</f>
        <v>0.85</v>
      </c>
      <c r="R19" s="817"/>
      <c r="S19" s="605" t="s">
        <v>519</v>
      </c>
      <c r="T19" s="541">
        <f>$G$15</f>
        <v>1860</v>
      </c>
      <c r="U19" s="541"/>
      <c r="V19" s="605" t="s">
        <v>521</v>
      </c>
      <c r="W19" s="541">
        <f>($H$19+$L$19)*$Q$19/$Q$20+T19</f>
        <v>2521</v>
      </c>
      <c r="X19" s="541"/>
      <c r="Y19" s="644" t="s">
        <v>522</v>
      </c>
      <c r="Z19" s="15"/>
      <c r="AA19" s="15"/>
      <c r="AB19" s="15"/>
      <c r="AC19" s="15"/>
      <c r="AD19" s="15"/>
      <c r="AE19" s="15"/>
      <c r="AF19" s="66"/>
      <c r="AG19" s="66"/>
      <c r="AH19" s="38"/>
      <c r="AI19" s="14"/>
      <c r="AJ19" s="14"/>
      <c r="AK19" s="14"/>
    </row>
    <row r="20" spans="1:37" ht="18" customHeight="1">
      <c r="A20" s="15"/>
      <c r="B20" s="15"/>
      <c r="C20" s="15"/>
      <c r="D20" s="662"/>
      <c r="E20" s="662"/>
      <c r="F20" s="605"/>
      <c r="G20" s="605"/>
      <c r="H20" s="755"/>
      <c r="I20" s="755"/>
      <c r="J20" s="582"/>
      <c r="K20" s="605"/>
      <c r="L20" s="755"/>
      <c r="M20" s="755"/>
      <c r="N20" s="582"/>
      <c r="O20" s="605"/>
      <c r="P20" s="814"/>
      <c r="Q20" s="818">
        <f>'朝顔'!$J$96</f>
        <v>9</v>
      </c>
      <c r="R20" s="818"/>
      <c r="S20" s="605"/>
      <c r="T20" s="755"/>
      <c r="U20" s="755"/>
      <c r="V20" s="605"/>
      <c r="W20" s="755"/>
      <c r="X20" s="755"/>
      <c r="Y20" s="644"/>
      <c r="Z20" s="15"/>
      <c r="AA20" s="15"/>
      <c r="AB20" s="15"/>
      <c r="AC20" s="15"/>
      <c r="AD20" s="15"/>
      <c r="AE20" s="15"/>
      <c r="AF20" s="66"/>
      <c r="AG20" s="66"/>
      <c r="AH20" s="38"/>
      <c r="AI20" s="14"/>
      <c r="AJ20" s="14"/>
      <c r="AK20" s="14"/>
    </row>
    <row r="21" spans="1:37" s="332" customFormat="1" ht="18" customHeight="1">
      <c r="A21" s="244"/>
      <c r="B21" s="244"/>
      <c r="C21" s="3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2"/>
      <c r="AF21" s="242"/>
      <c r="AG21" s="242"/>
      <c r="AH21" s="242"/>
      <c r="AI21" s="345"/>
      <c r="AJ21" s="345"/>
      <c r="AK21" s="345"/>
    </row>
    <row r="22" spans="1:37" ht="18" customHeight="1">
      <c r="A22" s="15"/>
      <c r="B22" s="15"/>
      <c r="C22" s="15"/>
      <c r="D22" s="662" t="s">
        <v>523</v>
      </c>
      <c r="E22" s="662"/>
      <c r="F22" s="605" t="s">
        <v>524</v>
      </c>
      <c r="G22" s="605"/>
      <c r="H22" s="613">
        <f>$U$13</f>
        <v>2500</v>
      </c>
      <c r="I22" s="613"/>
      <c r="J22" s="605" t="s">
        <v>161</v>
      </c>
      <c r="K22" s="541">
        <f>$W$19</f>
        <v>2521</v>
      </c>
      <c r="L22" s="541"/>
      <c r="M22" s="605" t="s">
        <v>160</v>
      </c>
      <c r="N22" s="541">
        <f>$H$22/$H$23*$K$22</f>
        <v>3151</v>
      </c>
      <c r="O22" s="541"/>
      <c r="P22" s="644" t="s">
        <v>95</v>
      </c>
      <c r="Q22" s="605" t="str">
        <f>IF($N$22&lt;=$T$22,"＜","＞")</f>
        <v>＜</v>
      </c>
      <c r="R22" s="605" t="s">
        <v>525</v>
      </c>
      <c r="S22" s="582"/>
      <c r="T22" s="541">
        <f>$M$9</f>
        <v>4250</v>
      </c>
      <c r="U22" s="541"/>
      <c r="V22" s="644" t="s">
        <v>95</v>
      </c>
      <c r="W22" s="610">
        <f>IF($N$22&lt;=$T$22,"","NG")</f>
      </c>
      <c r="X22" s="610"/>
      <c r="Y22" s="610"/>
      <c r="Z22" s="610"/>
      <c r="AA22" s="15"/>
      <c r="AB22" s="15"/>
      <c r="AC22" s="15"/>
      <c r="AD22" s="66"/>
      <c r="AE22" s="66"/>
      <c r="AF22" s="38"/>
      <c r="AG22" s="38"/>
      <c r="AH22" s="38"/>
      <c r="AI22" s="14"/>
      <c r="AJ22" s="14"/>
      <c r="AK22" s="14"/>
    </row>
    <row r="23" spans="1:37" ht="18" customHeight="1">
      <c r="A23" s="15"/>
      <c r="B23" s="15"/>
      <c r="C23" s="15"/>
      <c r="D23" s="662"/>
      <c r="E23" s="662"/>
      <c r="F23" s="605"/>
      <c r="G23" s="605"/>
      <c r="H23" s="819">
        <f>$Y$12</f>
        <v>2000</v>
      </c>
      <c r="I23" s="696"/>
      <c r="J23" s="605"/>
      <c r="K23" s="755"/>
      <c r="L23" s="755"/>
      <c r="M23" s="605"/>
      <c r="N23" s="755"/>
      <c r="O23" s="755"/>
      <c r="P23" s="644"/>
      <c r="Q23" s="605"/>
      <c r="R23" s="582"/>
      <c r="S23" s="582"/>
      <c r="T23" s="755"/>
      <c r="U23" s="755"/>
      <c r="V23" s="644"/>
      <c r="W23" s="610"/>
      <c r="X23" s="610"/>
      <c r="Y23" s="610"/>
      <c r="Z23" s="610"/>
      <c r="AA23" s="15"/>
      <c r="AB23" s="15"/>
      <c r="AC23" s="15"/>
      <c r="AD23" s="66"/>
      <c r="AE23" s="66"/>
      <c r="AF23" s="38"/>
      <c r="AG23" s="38"/>
      <c r="AH23" s="38"/>
      <c r="AI23" s="14"/>
      <c r="AJ23" s="14"/>
      <c r="AK23" s="14"/>
    </row>
    <row r="24" spans="1:37" s="332" customFormat="1" ht="18" customHeight="1">
      <c r="A24" s="244"/>
      <c r="B24" s="244"/>
      <c r="C24" s="344"/>
      <c r="D24" s="244"/>
      <c r="E24" s="244"/>
      <c r="F24" s="244"/>
      <c r="G24" s="244"/>
      <c r="H24" s="244"/>
      <c r="I24" s="244"/>
      <c r="J24" s="244"/>
      <c r="K24" s="244"/>
      <c r="L24" s="264"/>
      <c r="M24" s="350"/>
      <c r="N24" s="350"/>
      <c r="O24" s="350"/>
      <c r="P24" s="244"/>
      <c r="Q24" s="264"/>
      <c r="R24" s="264"/>
      <c r="S24" s="350"/>
      <c r="T24" s="350"/>
      <c r="U24" s="350"/>
      <c r="V24" s="244"/>
      <c r="W24" s="244"/>
      <c r="X24" s="244"/>
      <c r="Y24" s="244"/>
      <c r="Z24" s="244"/>
      <c r="AA24" s="244"/>
      <c r="AB24" s="244"/>
      <c r="AC24" s="244"/>
      <c r="AD24" s="244"/>
      <c r="AE24" s="242"/>
      <c r="AF24" s="242"/>
      <c r="AG24" s="242"/>
      <c r="AH24" s="242"/>
      <c r="AI24" s="345"/>
      <c r="AJ24" s="345"/>
      <c r="AK24" s="345"/>
    </row>
    <row r="25" spans="1:37" s="332" customFormat="1" ht="18" customHeight="1">
      <c r="A25" s="244"/>
      <c r="B25" s="244"/>
      <c r="C25" s="3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64"/>
      <c r="R25" s="242"/>
      <c r="S25" s="242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2"/>
      <c r="AF25" s="242"/>
      <c r="AG25" s="242"/>
      <c r="AH25" s="242"/>
      <c r="AI25" s="345"/>
      <c r="AJ25" s="345"/>
      <c r="AK25" s="345"/>
    </row>
    <row r="26" spans="28:37" s="332" customFormat="1" ht="18" customHeight="1">
      <c r="AB26" s="244"/>
      <c r="AC26" s="244"/>
      <c r="AD26" s="244"/>
      <c r="AE26" s="242"/>
      <c r="AF26" s="242"/>
      <c r="AG26" s="242"/>
      <c r="AH26" s="242"/>
      <c r="AI26" s="345"/>
      <c r="AJ26" s="345"/>
      <c r="AK26" s="345"/>
    </row>
    <row r="27" spans="28:37" s="332" customFormat="1" ht="18" customHeight="1">
      <c r="AB27" s="244"/>
      <c r="AC27" s="244"/>
      <c r="AD27" s="242"/>
      <c r="AE27" s="242"/>
      <c r="AF27" s="242"/>
      <c r="AG27" s="242"/>
      <c r="AH27" s="242"/>
      <c r="AI27" s="345"/>
      <c r="AJ27" s="345"/>
      <c r="AK27" s="345"/>
    </row>
    <row r="28" spans="28:37" s="332" customFormat="1" ht="18" customHeight="1">
      <c r="AB28" s="244"/>
      <c r="AC28" s="244"/>
      <c r="AD28" s="242"/>
      <c r="AE28" s="242"/>
      <c r="AF28" s="242"/>
      <c r="AG28" s="242"/>
      <c r="AH28" s="242"/>
      <c r="AI28" s="345"/>
      <c r="AJ28" s="345"/>
      <c r="AK28" s="345"/>
    </row>
    <row r="29" spans="28:37" s="332" customFormat="1" ht="18" customHeight="1">
      <c r="AB29" s="244"/>
      <c r="AC29" s="244"/>
      <c r="AD29" s="242"/>
      <c r="AE29" s="242"/>
      <c r="AF29" s="242"/>
      <c r="AG29" s="242"/>
      <c r="AH29" s="242"/>
      <c r="AI29" s="345"/>
      <c r="AJ29" s="345"/>
      <c r="AK29" s="345"/>
    </row>
    <row r="30" spans="28:37" s="332" customFormat="1" ht="18" customHeight="1">
      <c r="AB30" s="244"/>
      <c r="AC30" s="244"/>
      <c r="AD30" s="242"/>
      <c r="AE30" s="242"/>
      <c r="AF30" s="242"/>
      <c r="AG30" s="242"/>
      <c r="AH30" s="242"/>
      <c r="AI30" s="345"/>
      <c r="AJ30" s="345"/>
      <c r="AK30" s="345"/>
    </row>
    <row r="31" spans="28:37" s="332" customFormat="1" ht="18" customHeight="1">
      <c r="AB31" s="264"/>
      <c r="AC31" s="244"/>
      <c r="AD31" s="242"/>
      <c r="AE31" s="242"/>
      <c r="AF31" s="242"/>
      <c r="AG31" s="242"/>
      <c r="AH31" s="242"/>
      <c r="AI31" s="345"/>
      <c r="AJ31" s="345"/>
      <c r="AK31" s="345"/>
    </row>
    <row r="32" spans="28:37" s="332" customFormat="1" ht="18" customHeight="1">
      <c r="AB32" s="264"/>
      <c r="AC32" s="244"/>
      <c r="AD32" s="242"/>
      <c r="AE32" s="242"/>
      <c r="AF32" s="242"/>
      <c r="AG32" s="242"/>
      <c r="AH32" s="242"/>
      <c r="AI32" s="345"/>
      <c r="AJ32" s="345"/>
      <c r="AK32" s="345"/>
    </row>
    <row r="33" spans="28:37" s="332" customFormat="1" ht="18" customHeight="1">
      <c r="AB33" s="264"/>
      <c r="AC33" s="244"/>
      <c r="AD33" s="242"/>
      <c r="AE33" s="242"/>
      <c r="AF33" s="242"/>
      <c r="AG33" s="242"/>
      <c r="AH33" s="242"/>
      <c r="AI33" s="345"/>
      <c r="AJ33" s="345"/>
      <c r="AK33" s="345"/>
    </row>
    <row r="34" spans="28:37" s="332" customFormat="1" ht="18" customHeight="1">
      <c r="AB34" s="264"/>
      <c r="AC34" s="244"/>
      <c r="AD34" s="242"/>
      <c r="AE34" s="242"/>
      <c r="AF34" s="242"/>
      <c r="AG34" s="242"/>
      <c r="AH34" s="242"/>
      <c r="AI34" s="345"/>
      <c r="AJ34" s="345"/>
      <c r="AK34" s="345"/>
    </row>
    <row r="35" spans="28:37" s="332" customFormat="1" ht="18" customHeight="1">
      <c r="AB35" s="264"/>
      <c r="AC35" s="244"/>
      <c r="AD35" s="242"/>
      <c r="AE35" s="242"/>
      <c r="AF35" s="242"/>
      <c r="AG35" s="242"/>
      <c r="AH35" s="242"/>
      <c r="AI35" s="345"/>
      <c r="AJ35" s="345"/>
      <c r="AK35" s="345"/>
    </row>
    <row r="36" spans="28:37" s="332" customFormat="1" ht="18" customHeight="1">
      <c r="AB36" s="264"/>
      <c r="AC36" s="244"/>
      <c r="AD36" s="242"/>
      <c r="AE36" s="242"/>
      <c r="AF36" s="242"/>
      <c r="AG36" s="242"/>
      <c r="AH36" s="242"/>
      <c r="AI36" s="345"/>
      <c r="AJ36" s="345"/>
      <c r="AK36" s="345"/>
    </row>
    <row r="37" spans="28:37" s="332" customFormat="1" ht="18" customHeight="1">
      <c r="AB37" s="264"/>
      <c r="AC37" s="244"/>
      <c r="AD37" s="242"/>
      <c r="AE37" s="242"/>
      <c r="AF37" s="242"/>
      <c r="AG37" s="242"/>
      <c r="AH37" s="242"/>
      <c r="AI37" s="345"/>
      <c r="AJ37" s="345"/>
      <c r="AK37" s="345"/>
    </row>
    <row r="38" spans="28:37" s="332" customFormat="1" ht="18" customHeight="1">
      <c r="AB38" s="264"/>
      <c r="AC38" s="244"/>
      <c r="AD38" s="242"/>
      <c r="AE38" s="242"/>
      <c r="AF38" s="242"/>
      <c r="AG38" s="242"/>
      <c r="AH38" s="242"/>
      <c r="AI38" s="345"/>
      <c r="AJ38" s="345"/>
      <c r="AK38" s="345"/>
    </row>
    <row r="39" spans="28:37" s="332" customFormat="1" ht="18" customHeight="1">
      <c r="AB39" s="264"/>
      <c r="AC39" s="244"/>
      <c r="AD39" s="242"/>
      <c r="AE39" s="242"/>
      <c r="AF39" s="242"/>
      <c r="AG39" s="242"/>
      <c r="AH39" s="242"/>
      <c r="AI39" s="345"/>
      <c r="AJ39" s="345"/>
      <c r="AK39" s="345"/>
    </row>
    <row r="40" spans="28:37" s="332" customFormat="1" ht="18" customHeight="1">
      <c r="AB40" s="264"/>
      <c r="AC40" s="244"/>
      <c r="AD40" s="242"/>
      <c r="AE40" s="242"/>
      <c r="AF40" s="242"/>
      <c r="AG40" s="242"/>
      <c r="AH40" s="242"/>
      <c r="AI40" s="345"/>
      <c r="AJ40" s="345"/>
      <c r="AK40" s="345"/>
    </row>
    <row r="41" spans="28:37" s="332" customFormat="1" ht="18" customHeight="1">
      <c r="AB41" s="264"/>
      <c r="AC41" s="244"/>
      <c r="AD41" s="242"/>
      <c r="AE41" s="242"/>
      <c r="AF41" s="242"/>
      <c r="AG41" s="242"/>
      <c r="AH41" s="242"/>
      <c r="AI41" s="345"/>
      <c r="AJ41" s="345"/>
      <c r="AK41" s="345"/>
    </row>
    <row r="42" spans="28:37" s="332" customFormat="1" ht="18" customHeight="1">
      <c r="AB42" s="264"/>
      <c r="AC42" s="244"/>
      <c r="AD42" s="242"/>
      <c r="AE42" s="242"/>
      <c r="AF42" s="242"/>
      <c r="AG42" s="242"/>
      <c r="AH42" s="242"/>
      <c r="AI42" s="345"/>
      <c r="AJ42" s="345"/>
      <c r="AK42" s="345"/>
    </row>
    <row r="43" spans="28:37" s="332" customFormat="1" ht="18" customHeight="1">
      <c r="AB43" s="264"/>
      <c r="AC43" s="244"/>
      <c r="AD43" s="242"/>
      <c r="AE43" s="242"/>
      <c r="AF43" s="242"/>
      <c r="AG43" s="242"/>
      <c r="AH43" s="242"/>
      <c r="AI43" s="345"/>
      <c r="AJ43" s="345"/>
      <c r="AK43" s="345"/>
    </row>
    <row r="44" spans="28:37" s="332" customFormat="1" ht="18" customHeight="1">
      <c r="AB44" s="264"/>
      <c r="AC44" s="244"/>
      <c r="AD44" s="242"/>
      <c r="AE44" s="242"/>
      <c r="AF44" s="242"/>
      <c r="AG44" s="242"/>
      <c r="AH44" s="242"/>
      <c r="AI44" s="345"/>
      <c r="AJ44" s="345"/>
      <c r="AK44" s="345"/>
    </row>
    <row r="45" spans="28:37" s="332" customFormat="1" ht="18" customHeight="1">
      <c r="AB45" s="264"/>
      <c r="AC45" s="244"/>
      <c r="AD45" s="242"/>
      <c r="AE45" s="242"/>
      <c r="AF45" s="242"/>
      <c r="AG45" s="242"/>
      <c r="AH45" s="242"/>
      <c r="AI45" s="345"/>
      <c r="AJ45" s="345"/>
      <c r="AK45" s="345"/>
    </row>
    <row r="46" spans="28:37" s="332" customFormat="1" ht="18" customHeight="1">
      <c r="AB46" s="264"/>
      <c r="AC46" s="244"/>
      <c r="AD46" s="242"/>
      <c r="AE46" s="242"/>
      <c r="AF46" s="242"/>
      <c r="AG46" s="242"/>
      <c r="AH46" s="242"/>
      <c r="AI46" s="345"/>
      <c r="AJ46" s="345"/>
      <c r="AK46" s="345"/>
    </row>
    <row r="47" spans="28:37" s="332" customFormat="1" ht="18" customHeight="1">
      <c r="AB47" s="264"/>
      <c r="AC47" s="244"/>
      <c r="AD47" s="242"/>
      <c r="AE47" s="242"/>
      <c r="AF47" s="242"/>
      <c r="AG47" s="242"/>
      <c r="AH47" s="242"/>
      <c r="AI47" s="345"/>
      <c r="AJ47" s="345"/>
      <c r="AK47" s="345"/>
    </row>
    <row r="48" spans="28:37" s="332" customFormat="1" ht="18" customHeight="1">
      <c r="AB48" s="264"/>
      <c r="AC48" s="244"/>
      <c r="AD48" s="242"/>
      <c r="AE48" s="242"/>
      <c r="AF48" s="242"/>
      <c r="AG48" s="242"/>
      <c r="AH48" s="242"/>
      <c r="AI48" s="345"/>
      <c r="AJ48" s="345"/>
      <c r="AK48" s="345"/>
    </row>
    <row r="49" spans="1:37" ht="18" customHeight="1">
      <c r="A49" s="244"/>
      <c r="B49" s="486" t="s">
        <v>719</v>
      </c>
      <c r="C49" s="3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64"/>
      <c r="P49" s="350"/>
      <c r="Q49" s="350"/>
      <c r="R49" s="350"/>
      <c r="S49" s="264"/>
      <c r="T49" s="244"/>
      <c r="U49" s="244"/>
      <c r="V49" s="242"/>
      <c r="W49" s="244"/>
      <c r="X49" s="244"/>
      <c r="Y49" s="242"/>
      <c r="Z49" s="244"/>
      <c r="AA49" s="244"/>
      <c r="AB49" s="38"/>
      <c r="AC49" s="575" t="s">
        <v>158</v>
      </c>
      <c r="AD49" s="38"/>
      <c r="AE49" s="38"/>
      <c r="AF49" s="38"/>
      <c r="AG49" s="38"/>
      <c r="AH49" s="38"/>
      <c r="AI49" s="14"/>
      <c r="AJ49" s="14"/>
      <c r="AK49" s="14"/>
    </row>
    <row r="50" spans="1:37" ht="18" customHeight="1">
      <c r="A50" s="247"/>
      <c r="B50" s="247"/>
      <c r="C50" s="247"/>
      <c r="D50" s="247"/>
      <c r="E50" s="351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329"/>
      <c r="T50" s="247"/>
      <c r="U50" s="247"/>
      <c r="V50" s="247"/>
      <c r="W50" s="247"/>
      <c r="X50" s="247"/>
      <c r="Y50" s="248"/>
      <c r="Z50" s="248"/>
      <c r="AA50" s="248"/>
      <c r="AB50" s="38"/>
      <c r="AC50" s="576"/>
      <c r="AD50" s="38"/>
      <c r="AE50" s="38"/>
      <c r="AF50" s="38"/>
      <c r="AG50" s="38"/>
      <c r="AH50" s="38"/>
      <c r="AI50" s="14"/>
      <c r="AJ50" s="14"/>
      <c r="AK50" s="14"/>
    </row>
    <row r="51" spans="1:37" ht="18" customHeight="1">
      <c r="A51" s="247"/>
      <c r="B51" s="247"/>
      <c r="C51" s="352"/>
      <c r="D51" s="247"/>
      <c r="E51" s="351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329"/>
      <c r="U51" s="329"/>
      <c r="V51" s="329"/>
      <c r="W51" s="247"/>
      <c r="X51" s="247"/>
      <c r="Y51" s="248"/>
      <c r="Z51" s="248"/>
      <c r="AA51" s="248"/>
      <c r="AB51" s="38"/>
      <c r="AC51" s="150" t="s">
        <v>135</v>
      </c>
      <c r="AD51" s="38"/>
      <c r="AE51" s="38"/>
      <c r="AF51" s="38"/>
      <c r="AG51" s="38"/>
      <c r="AH51" s="38"/>
      <c r="AI51" s="14"/>
      <c r="AJ51" s="14"/>
      <c r="AK51" s="14"/>
    </row>
    <row r="52" spans="1:37" ht="18" customHeight="1">
      <c r="A52" s="247"/>
      <c r="B52" s="247"/>
      <c r="C52" s="352"/>
      <c r="D52" s="247"/>
      <c r="E52" s="351"/>
      <c r="F52" s="247"/>
      <c r="G52" s="247"/>
      <c r="H52" s="247"/>
      <c r="I52" s="247"/>
      <c r="J52" s="247"/>
      <c r="K52" s="247"/>
      <c r="L52" s="247"/>
      <c r="M52" s="329"/>
      <c r="N52" s="329"/>
      <c r="O52" s="329"/>
      <c r="P52" s="247"/>
      <c r="Q52" s="247"/>
      <c r="R52" s="247"/>
      <c r="S52" s="247"/>
      <c r="T52" s="247"/>
      <c r="U52" s="247"/>
      <c r="V52" s="247"/>
      <c r="W52" s="247"/>
      <c r="X52" s="247"/>
      <c r="Y52" s="354"/>
      <c r="Z52" s="247"/>
      <c r="AA52" s="247"/>
      <c r="AB52" s="38"/>
      <c r="AC52" s="151" t="s">
        <v>136</v>
      </c>
      <c r="AD52" s="38"/>
      <c r="AE52" s="38"/>
      <c r="AF52" s="38"/>
      <c r="AG52" s="38"/>
      <c r="AH52" s="38"/>
      <c r="AI52" s="14"/>
      <c r="AJ52" s="14"/>
      <c r="AK52" s="14"/>
    </row>
    <row r="53" spans="1:37" ht="18" customHeight="1">
      <c r="A53" s="247"/>
      <c r="B53" s="247"/>
      <c r="C53" s="352"/>
      <c r="D53" s="247"/>
      <c r="E53" s="351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355"/>
      <c r="Q53" s="247"/>
      <c r="R53" s="247"/>
      <c r="S53" s="247"/>
      <c r="T53" s="247"/>
      <c r="U53" s="247"/>
      <c r="V53" s="247"/>
      <c r="W53" s="247"/>
      <c r="X53" s="434"/>
      <c r="Y53" s="247"/>
      <c r="Z53" s="247"/>
      <c r="AA53" s="247"/>
      <c r="AB53" s="38"/>
      <c r="AC53" s="15"/>
      <c r="AD53" s="38"/>
      <c r="AE53" s="38"/>
      <c r="AF53" s="38"/>
      <c r="AG53" s="38"/>
      <c r="AH53" s="38"/>
      <c r="AI53" s="14"/>
      <c r="AJ53" s="14"/>
      <c r="AK53" s="14"/>
    </row>
    <row r="54" spans="1:37" s="332" customFormat="1" ht="18" customHeight="1">
      <c r="A54" s="247"/>
      <c r="B54" s="247"/>
      <c r="C54" s="247"/>
      <c r="D54" s="247"/>
      <c r="E54" s="351"/>
      <c r="F54" s="351"/>
      <c r="G54" s="351"/>
      <c r="H54" s="247"/>
      <c r="I54" s="247"/>
      <c r="J54" s="247"/>
      <c r="K54" s="247"/>
      <c r="L54" s="247"/>
      <c r="M54" s="465" t="s">
        <v>97</v>
      </c>
      <c r="N54" s="247"/>
      <c r="O54" s="247"/>
      <c r="P54" s="247"/>
      <c r="Q54" s="247"/>
      <c r="R54" s="247"/>
      <c r="S54" s="247"/>
      <c r="T54" s="247"/>
      <c r="U54" s="247"/>
      <c r="V54" s="352"/>
      <c r="W54" s="247"/>
      <c r="X54" s="434"/>
      <c r="Y54" s="247"/>
      <c r="Z54" s="247"/>
      <c r="AA54" s="247"/>
      <c r="AB54" s="244"/>
      <c r="AC54" s="242"/>
      <c r="AD54" s="242"/>
      <c r="AE54" s="242"/>
      <c r="AF54" s="242"/>
      <c r="AG54" s="242"/>
      <c r="AH54" s="242"/>
      <c r="AI54" s="345"/>
      <c r="AJ54" s="345"/>
      <c r="AK54" s="345"/>
    </row>
    <row r="55" spans="1:37" s="332" customFormat="1" ht="18" customHeight="1">
      <c r="A55" s="247"/>
      <c r="B55" s="247"/>
      <c r="C55" s="247"/>
      <c r="D55" s="247"/>
      <c r="E55" s="351"/>
      <c r="F55" s="351"/>
      <c r="G55" s="823">
        <f>'朝顔'!$F$13</f>
        <v>1100</v>
      </c>
      <c r="H55" s="247"/>
      <c r="I55" s="247"/>
      <c r="J55" s="247"/>
      <c r="K55" s="247"/>
      <c r="L55" s="466"/>
      <c r="M55" s="247"/>
      <c r="N55" s="247"/>
      <c r="O55" s="247"/>
      <c r="P55" s="329"/>
      <c r="Q55" s="356"/>
      <c r="R55" s="247"/>
      <c r="S55" s="247"/>
      <c r="T55" s="247"/>
      <c r="U55" s="835">
        <f>'朝顔'!$D$11+'朝顔'!$D$16-'朝顔'!$F$17</f>
        <v>1100</v>
      </c>
      <c r="V55" s="352"/>
      <c r="W55" s="247"/>
      <c r="X55" s="329"/>
      <c r="Y55" s="247"/>
      <c r="Z55" s="247"/>
      <c r="AA55" s="247"/>
      <c r="AB55" s="244"/>
      <c r="AC55" s="242"/>
      <c r="AD55" s="242"/>
      <c r="AE55" s="242"/>
      <c r="AF55" s="242"/>
      <c r="AG55" s="242"/>
      <c r="AH55" s="242"/>
      <c r="AI55" s="345"/>
      <c r="AJ55" s="345"/>
      <c r="AK55" s="345"/>
    </row>
    <row r="56" spans="1:37" ht="18" customHeight="1">
      <c r="A56" s="247"/>
      <c r="B56" s="247"/>
      <c r="C56" s="247"/>
      <c r="D56" s="247"/>
      <c r="E56" s="351"/>
      <c r="F56" s="247"/>
      <c r="G56" s="823"/>
      <c r="H56" s="247"/>
      <c r="I56" s="247"/>
      <c r="J56" s="247"/>
      <c r="K56" s="247"/>
      <c r="L56" s="247"/>
      <c r="M56" s="247"/>
      <c r="N56" s="247"/>
      <c r="O56" s="247"/>
      <c r="P56" s="247"/>
      <c r="Q56" s="356"/>
      <c r="R56" s="247"/>
      <c r="S56" s="247"/>
      <c r="T56" s="247"/>
      <c r="U56" s="836"/>
      <c r="V56" s="352"/>
      <c r="W56" s="247"/>
      <c r="X56" s="329"/>
      <c r="Y56" s="247"/>
      <c r="Z56" s="247"/>
      <c r="AA56" s="247"/>
      <c r="AB56" s="15"/>
      <c r="AC56" s="66"/>
      <c r="AD56" s="66"/>
      <c r="AE56" s="38"/>
      <c r="AF56" s="38"/>
      <c r="AG56" s="38"/>
      <c r="AH56" s="38"/>
      <c r="AI56" s="14"/>
      <c r="AJ56" s="14"/>
      <c r="AK56" s="14"/>
    </row>
    <row r="57" spans="1:37" s="332" customFormat="1" ht="18" customHeight="1">
      <c r="A57" s="247"/>
      <c r="B57" s="247"/>
      <c r="C57" s="247"/>
      <c r="D57" s="247"/>
      <c r="E57" s="351"/>
      <c r="F57" s="351"/>
      <c r="G57" s="805" t="s">
        <v>528</v>
      </c>
      <c r="H57" s="247"/>
      <c r="I57" s="247" t="s">
        <v>675</v>
      </c>
      <c r="J57" s="247"/>
      <c r="K57" s="247"/>
      <c r="L57" s="247"/>
      <c r="M57" s="247"/>
      <c r="N57" s="247"/>
      <c r="O57" s="247"/>
      <c r="P57" s="247"/>
      <c r="Q57" s="356"/>
      <c r="R57" s="247"/>
      <c r="S57" s="478"/>
      <c r="T57" s="247"/>
      <c r="U57" s="836"/>
      <c r="V57" s="352"/>
      <c r="W57" s="247"/>
      <c r="X57" s="329"/>
      <c r="Y57" s="247"/>
      <c r="Z57" s="247"/>
      <c r="AA57" s="247"/>
      <c r="AB57" s="244"/>
      <c r="AC57" s="242"/>
      <c r="AD57" s="242"/>
      <c r="AE57" s="242"/>
      <c r="AF57" s="242"/>
      <c r="AG57" s="242"/>
      <c r="AH57" s="242"/>
      <c r="AI57" s="345"/>
      <c r="AJ57" s="345"/>
      <c r="AK57" s="345"/>
    </row>
    <row r="58" spans="1:37" s="332" customFormat="1" ht="18" customHeight="1">
      <c r="A58" s="247"/>
      <c r="B58" s="247"/>
      <c r="C58" s="247"/>
      <c r="D58" s="247"/>
      <c r="E58" s="329"/>
      <c r="F58" s="329"/>
      <c r="G58" s="806"/>
      <c r="H58" s="247"/>
      <c r="I58" s="247"/>
      <c r="J58" s="247"/>
      <c r="K58" s="247"/>
      <c r="L58" s="353"/>
      <c r="M58" s="247"/>
      <c r="N58" s="247"/>
      <c r="O58" s="247"/>
      <c r="P58" s="247"/>
      <c r="Q58" s="247"/>
      <c r="R58" s="354"/>
      <c r="S58" s="247"/>
      <c r="T58" s="247"/>
      <c r="U58" s="247"/>
      <c r="V58" s="247"/>
      <c r="W58" s="247"/>
      <c r="X58" s="247"/>
      <c r="Y58" s="247"/>
      <c r="Z58" s="247"/>
      <c r="AA58" s="247"/>
      <c r="AB58" s="244"/>
      <c r="AC58" s="244"/>
      <c r="AD58" s="242"/>
      <c r="AE58" s="242"/>
      <c r="AF58" s="242"/>
      <c r="AG58" s="242"/>
      <c r="AH58" s="242"/>
      <c r="AI58" s="345"/>
      <c r="AJ58" s="345"/>
      <c r="AK58" s="345"/>
    </row>
    <row r="59" spans="1:37" s="332" customFormat="1" ht="18" customHeight="1">
      <c r="A59" s="247"/>
      <c r="B59" s="247"/>
      <c r="C59" s="247"/>
      <c r="D59" s="247"/>
      <c r="E59" s="351"/>
      <c r="F59" s="467" t="s">
        <v>529</v>
      </c>
      <c r="G59" s="822">
        <f>'朝顔'!$F$17</f>
        <v>900</v>
      </c>
      <c r="H59" s="247"/>
      <c r="I59" s="247"/>
      <c r="J59" s="247"/>
      <c r="K59" s="247"/>
      <c r="L59" s="247"/>
      <c r="M59" s="353"/>
      <c r="N59" s="247"/>
      <c r="O59" s="247"/>
      <c r="P59" s="247"/>
      <c r="Q59" s="354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4"/>
      <c r="AC59" s="244"/>
      <c r="AD59" s="242"/>
      <c r="AE59" s="242"/>
      <c r="AF59" s="242"/>
      <c r="AG59" s="242"/>
      <c r="AH59" s="242"/>
      <c r="AI59" s="345"/>
      <c r="AJ59" s="345"/>
      <c r="AK59" s="345"/>
    </row>
    <row r="60" spans="1:37" s="332" customFormat="1" ht="18" customHeight="1">
      <c r="A60" s="247"/>
      <c r="B60" s="247"/>
      <c r="C60" s="247"/>
      <c r="D60" s="247"/>
      <c r="E60" s="351"/>
      <c r="F60" s="247"/>
      <c r="G60" s="822"/>
      <c r="H60" s="357"/>
      <c r="I60" s="247"/>
      <c r="J60" s="247"/>
      <c r="K60" s="358"/>
      <c r="L60" s="247"/>
      <c r="M60" s="247"/>
      <c r="N60" s="247"/>
      <c r="O60" s="247"/>
      <c r="P60" s="247"/>
      <c r="Q60" s="247"/>
      <c r="R60" s="247" t="s">
        <v>526</v>
      </c>
      <c r="S60" s="354"/>
      <c r="T60" s="247"/>
      <c r="U60" s="247"/>
      <c r="V60" s="247"/>
      <c r="W60" s="247"/>
      <c r="X60" s="247"/>
      <c r="Y60" s="247"/>
      <c r="Z60" s="247"/>
      <c r="AA60" s="247"/>
      <c r="AB60" s="244"/>
      <c r="AC60" s="242"/>
      <c r="AD60" s="242"/>
      <c r="AE60" s="242"/>
      <c r="AF60" s="242"/>
      <c r="AG60" s="242"/>
      <c r="AH60" s="242"/>
      <c r="AI60" s="345"/>
      <c r="AJ60" s="345"/>
      <c r="AK60" s="345"/>
    </row>
    <row r="61" spans="1:37" s="332" customFormat="1" ht="18" customHeight="1">
      <c r="A61" s="247"/>
      <c r="B61" s="247"/>
      <c r="C61" s="247"/>
      <c r="D61" s="247"/>
      <c r="E61" s="351"/>
      <c r="F61" s="247"/>
      <c r="G61" s="805" t="s">
        <v>530</v>
      </c>
      <c r="H61" s="329"/>
      <c r="I61" s="247"/>
      <c r="J61" s="247"/>
      <c r="K61" s="247"/>
      <c r="L61" s="247"/>
      <c r="M61" s="247"/>
      <c r="N61" s="247"/>
      <c r="O61" s="247"/>
      <c r="P61" s="247"/>
      <c r="Q61" s="247"/>
      <c r="R61" s="247" t="s">
        <v>527</v>
      </c>
      <c r="S61" s="804">
        <f>'朝顔'!$Y$17</f>
        <v>850</v>
      </c>
      <c r="T61" s="804"/>
      <c r="U61" s="247"/>
      <c r="V61" s="247"/>
      <c r="W61" s="247"/>
      <c r="X61" s="247"/>
      <c r="Y61" s="247"/>
      <c r="Z61" s="247"/>
      <c r="AA61" s="247"/>
      <c r="AB61" s="242"/>
      <c r="AC61" s="242"/>
      <c r="AD61" s="242"/>
      <c r="AE61" s="242"/>
      <c r="AF61" s="242"/>
      <c r="AG61" s="242"/>
      <c r="AH61" s="242"/>
      <c r="AI61" s="345"/>
      <c r="AJ61" s="345"/>
      <c r="AK61" s="345"/>
    </row>
    <row r="62" spans="1:37" s="332" customFormat="1" ht="18" customHeight="1">
      <c r="A62" s="247"/>
      <c r="B62" s="247"/>
      <c r="C62" s="247"/>
      <c r="D62" s="247"/>
      <c r="E62" s="351"/>
      <c r="F62" s="247"/>
      <c r="G62" s="806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804"/>
      <c r="T62" s="804"/>
      <c r="U62" s="247"/>
      <c r="V62" s="247"/>
      <c r="W62" s="247"/>
      <c r="X62" s="247"/>
      <c r="Y62" s="247"/>
      <c r="Z62" s="247"/>
      <c r="AA62" s="247"/>
      <c r="AB62" s="242"/>
      <c r="AC62" s="242"/>
      <c r="AD62" s="242"/>
      <c r="AE62" s="242"/>
      <c r="AF62" s="242"/>
      <c r="AG62" s="242"/>
      <c r="AH62" s="242"/>
      <c r="AI62" s="345"/>
      <c r="AJ62" s="345"/>
      <c r="AK62" s="345"/>
    </row>
    <row r="63" spans="1:37" s="332" customFormat="1" ht="18" customHeight="1">
      <c r="A63" s="247"/>
      <c r="B63" s="247"/>
      <c r="C63" s="351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2"/>
      <c r="AC63" s="242"/>
      <c r="AD63" s="242"/>
      <c r="AE63" s="242"/>
      <c r="AF63" s="242"/>
      <c r="AG63" s="242"/>
      <c r="AH63" s="242"/>
      <c r="AI63" s="345"/>
      <c r="AJ63" s="345"/>
      <c r="AK63" s="345"/>
    </row>
    <row r="64" spans="1:36" s="332" customFormat="1" ht="18" customHeight="1">
      <c r="A64" s="247"/>
      <c r="B64" s="247"/>
      <c r="C64" s="351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8"/>
      <c r="Q64" s="436"/>
      <c r="R64" s="436"/>
      <c r="S64" s="247"/>
      <c r="T64" s="247"/>
      <c r="U64" s="247"/>
      <c r="V64" s="247"/>
      <c r="W64" s="247"/>
      <c r="X64" s="247"/>
      <c r="Y64" s="247"/>
      <c r="Z64" s="247"/>
      <c r="AA64" s="247"/>
      <c r="AB64" s="242"/>
      <c r="AC64" s="242"/>
      <c r="AD64" s="242"/>
      <c r="AE64" s="242"/>
      <c r="AF64" s="242"/>
      <c r="AG64" s="242"/>
      <c r="AH64" s="242"/>
      <c r="AI64" s="345"/>
      <c r="AJ64" s="345"/>
    </row>
    <row r="65" spans="1:28" s="332" customFormat="1" ht="18" customHeight="1">
      <c r="A65" s="247"/>
      <c r="B65" s="247"/>
      <c r="C65" s="351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8"/>
      <c r="P65" s="248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2"/>
    </row>
    <row r="66" spans="1:28" s="332" customFormat="1" ht="18" customHeight="1">
      <c r="A66" s="247"/>
      <c r="B66" s="247"/>
      <c r="C66" s="351"/>
      <c r="D66" s="247"/>
      <c r="E66" s="247"/>
      <c r="F66" s="247"/>
      <c r="G66" s="247"/>
      <c r="H66" s="247"/>
      <c r="I66" s="247"/>
      <c r="J66" s="247"/>
      <c r="K66" s="354"/>
      <c r="L66" s="803">
        <f>'朝顔'!J6</f>
        <v>800</v>
      </c>
      <c r="M66" s="803"/>
      <c r="N66" s="489"/>
      <c r="O66" s="247"/>
      <c r="P66" s="359"/>
      <c r="Q66" s="247"/>
      <c r="R66" s="247"/>
      <c r="S66" s="247"/>
      <c r="T66" s="247"/>
      <c r="U66" s="433"/>
      <c r="V66" s="247"/>
      <c r="W66" s="247"/>
      <c r="X66" s="247"/>
      <c r="Y66" s="247"/>
      <c r="Z66" s="247"/>
      <c r="AA66" s="247"/>
      <c r="AB66" s="244"/>
    </row>
    <row r="67" spans="1:28" s="332" customFormat="1" ht="18" customHeight="1">
      <c r="A67" s="247"/>
      <c r="B67" s="247"/>
      <c r="C67" s="351"/>
      <c r="D67" s="247"/>
      <c r="E67" s="247"/>
      <c r="F67" s="247"/>
      <c r="G67" s="247"/>
      <c r="H67" s="247"/>
      <c r="I67" s="247"/>
      <c r="J67" s="247"/>
      <c r="K67" s="354"/>
      <c r="L67" s="329"/>
      <c r="M67" s="329"/>
      <c r="N67" s="247"/>
      <c r="O67" s="359"/>
      <c r="P67" s="354"/>
      <c r="Q67" s="359"/>
      <c r="R67" s="435"/>
      <c r="S67" s="433"/>
      <c r="T67" s="433"/>
      <c r="U67" s="247"/>
      <c r="V67" s="247"/>
      <c r="W67" s="247"/>
      <c r="X67" s="247"/>
      <c r="Y67" s="247"/>
      <c r="Z67" s="247"/>
      <c r="AA67" s="247"/>
      <c r="AB67" s="242"/>
    </row>
    <row r="68" spans="1:28" s="332" customFormat="1" ht="18" customHeight="1">
      <c r="A68" s="247"/>
      <c r="B68" s="247"/>
      <c r="C68" s="351"/>
      <c r="D68" s="247"/>
      <c r="E68" s="247"/>
      <c r="F68" s="247"/>
      <c r="G68" s="247"/>
      <c r="H68" s="247"/>
      <c r="I68" s="247"/>
      <c r="J68" s="247"/>
      <c r="K68" s="354"/>
      <c r="L68" s="247"/>
      <c r="M68" s="247"/>
      <c r="N68" s="247"/>
      <c r="O68" s="359"/>
      <c r="P68" s="354"/>
      <c r="Q68" s="359"/>
      <c r="R68" s="435"/>
      <c r="S68" s="433"/>
      <c r="T68" s="433"/>
      <c r="U68" s="247"/>
      <c r="V68" s="247"/>
      <c r="W68" s="247"/>
      <c r="X68" s="247"/>
      <c r="Y68" s="247"/>
      <c r="Z68" s="247"/>
      <c r="AA68" s="247"/>
      <c r="AB68" s="242"/>
    </row>
    <row r="69" spans="1:28" s="332" customFormat="1" ht="18" customHeight="1">
      <c r="A69" s="247"/>
      <c r="B69" s="247"/>
      <c r="C69" s="351"/>
      <c r="D69" s="247"/>
      <c r="E69" s="247"/>
      <c r="F69" s="247"/>
      <c r="G69" s="247"/>
      <c r="H69" s="247"/>
      <c r="I69" s="247"/>
      <c r="J69" s="247"/>
      <c r="K69" s="354"/>
      <c r="L69" s="247"/>
      <c r="M69" s="247"/>
      <c r="N69" s="247"/>
      <c r="O69" s="359"/>
      <c r="P69" s="354"/>
      <c r="Q69" s="359"/>
      <c r="R69" s="435"/>
      <c r="S69" s="433"/>
      <c r="T69" s="433"/>
      <c r="U69" s="247"/>
      <c r="V69" s="247"/>
      <c r="W69" s="247"/>
      <c r="X69" s="247"/>
      <c r="Y69" s="247"/>
      <c r="Z69" s="247"/>
      <c r="AA69" s="247"/>
      <c r="AB69" s="242"/>
    </row>
    <row r="70" spans="1:28" s="332" customFormat="1" ht="18" customHeight="1">
      <c r="A70" s="247"/>
      <c r="B70" s="247"/>
      <c r="C70" s="351"/>
      <c r="D70" s="247"/>
      <c r="E70" s="247"/>
      <c r="F70" s="247"/>
      <c r="G70" s="247"/>
      <c r="H70" s="247"/>
      <c r="I70" s="247"/>
      <c r="J70" s="247"/>
      <c r="K70" s="247"/>
      <c r="L70" s="247"/>
      <c r="M70" s="248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2"/>
    </row>
    <row r="71" spans="1:28" s="332" customFormat="1" ht="18" customHeight="1">
      <c r="A71" s="244"/>
      <c r="B71" s="244"/>
      <c r="C71" s="344"/>
      <c r="D71" s="244"/>
      <c r="E71" s="244"/>
      <c r="F71" s="244"/>
      <c r="G71" s="244"/>
      <c r="H71" s="244"/>
      <c r="I71" s="244"/>
      <c r="J71" s="244"/>
      <c r="K71" s="244"/>
      <c r="L71" s="244"/>
      <c r="M71" s="26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2"/>
    </row>
    <row r="72" spans="1:28" s="332" customFormat="1" ht="18" customHeight="1">
      <c r="A72" s="38"/>
      <c r="B72" s="15" t="s">
        <v>200</v>
      </c>
      <c r="C72" s="15"/>
      <c r="D72" s="15"/>
      <c r="E72" s="15"/>
      <c r="F72" s="15"/>
      <c r="G72" s="570" t="s">
        <v>135</v>
      </c>
      <c r="H72" s="570"/>
      <c r="I72" s="570"/>
      <c r="J72" s="570"/>
      <c r="K72" s="15"/>
      <c r="L72" s="18" t="s">
        <v>70</v>
      </c>
      <c r="M72" s="572">
        <f>VLOOKUP($G$72,'使用材一覧'!$AC$33:$AH$34,2,FALSE)</f>
        <v>7</v>
      </c>
      <c r="N72" s="572"/>
      <c r="O72" s="15" t="s">
        <v>69</v>
      </c>
      <c r="P72" s="18" t="s">
        <v>71</v>
      </c>
      <c r="Q72" s="1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242"/>
    </row>
    <row r="73" spans="1:28" s="332" customFormat="1" ht="18" customHeight="1">
      <c r="A73" s="38"/>
      <c r="B73" s="15"/>
      <c r="C73" s="15" t="s">
        <v>72</v>
      </c>
      <c r="D73" s="15"/>
      <c r="E73" s="15"/>
      <c r="F73" s="15"/>
      <c r="G73" s="29"/>
      <c r="H73" s="15"/>
      <c r="I73" s="15"/>
      <c r="J73" s="588" t="s">
        <v>531</v>
      </c>
      <c r="K73" s="569"/>
      <c r="L73" s="581">
        <f>VLOOKUP($G$72,'使用材一覧'!$AC$33:$AH$34,3,FALSE)</f>
        <v>11800</v>
      </c>
      <c r="M73" s="581"/>
      <c r="N73" s="590"/>
      <c r="O73" s="15"/>
      <c r="P73" s="15" t="s">
        <v>503</v>
      </c>
      <c r="Q73" s="15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242"/>
    </row>
    <row r="74" spans="1:28" s="332" customFormat="1" ht="18" customHeight="1">
      <c r="A74" s="38"/>
      <c r="B74" s="15"/>
      <c r="C74" s="15" t="s">
        <v>73</v>
      </c>
      <c r="D74" s="15"/>
      <c r="E74" s="15"/>
      <c r="F74" s="15"/>
      <c r="G74" s="15"/>
      <c r="H74" s="15"/>
      <c r="I74" s="15"/>
      <c r="J74" s="588" t="s">
        <v>532</v>
      </c>
      <c r="K74" s="588"/>
      <c r="L74" s="820">
        <v>5</v>
      </c>
      <c r="M74" s="820"/>
      <c r="N74" s="821"/>
      <c r="O74" s="15"/>
      <c r="P74" s="15"/>
      <c r="Q74" s="15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242"/>
    </row>
    <row r="75" spans="1:28" s="332" customFormat="1" ht="18" customHeight="1">
      <c r="A75" s="38"/>
      <c r="B75" s="15"/>
      <c r="C75" s="15" t="s">
        <v>74</v>
      </c>
      <c r="D75" s="15"/>
      <c r="E75" s="15"/>
      <c r="F75" s="15"/>
      <c r="G75" s="15"/>
      <c r="H75" s="15"/>
      <c r="I75" s="15"/>
      <c r="J75" s="588" t="s">
        <v>512</v>
      </c>
      <c r="K75" s="588"/>
      <c r="L75" s="581">
        <f>VLOOKUP($G$72,'使用材一覧'!$AC$33:$AH$34,5,FALSE)</f>
        <v>2360</v>
      </c>
      <c r="M75" s="581"/>
      <c r="N75" s="542"/>
      <c r="O75" s="15"/>
      <c r="P75" s="15" t="s">
        <v>503</v>
      </c>
      <c r="Q75" s="15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242"/>
    </row>
    <row r="76" spans="1:28" ht="13.5">
      <c r="A76" s="38"/>
      <c r="B76" s="38"/>
      <c r="C76" s="15"/>
      <c r="D76" s="15"/>
      <c r="E76" s="15"/>
      <c r="F76" s="15"/>
      <c r="G76" s="15"/>
      <c r="H76" s="15"/>
      <c r="I76" s="15"/>
      <c r="J76" s="15"/>
      <c r="K76" s="18"/>
      <c r="L76" s="18"/>
      <c r="M76" s="168"/>
      <c r="N76" s="168"/>
      <c r="O76" s="166"/>
      <c r="P76" s="15"/>
      <c r="Q76" s="15"/>
      <c r="R76" s="15"/>
      <c r="S76" s="38"/>
      <c r="T76" s="38"/>
      <c r="U76" s="38"/>
      <c r="V76" s="38"/>
      <c r="W76" s="38"/>
      <c r="X76" s="38"/>
      <c r="Y76" s="38"/>
      <c r="Z76" s="38"/>
      <c r="AA76" s="38"/>
      <c r="AB76" s="15"/>
    </row>
    <row r="77" spans="1:28" ht="13.5">
      <c r="A77" s="244"/>
      <c r="B77" s="244" t="s">
        <v>533</v>
      </c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64"/>
      <c r="R77" s="264"/>
      <c r="S77" s="244"/>
      <c r="T77" s="244"/>
      <c r="U77" s="244"/>
      <c r="V77" s="244"/>
      <c r="W77" s="244"/>
      <c r="X77" s="244"/>
      <c r="Y77" s="244"/>
      <c r="Z77" s="244"/>
      <c r="AA77" s="244"/>
      <c r="AB77" s="15"/>
    </row>
    <row r="78" spans="1:28" ht="13.5">
      <c r="A78" s="244"/>
      <c r="B78" s="344"/>
      <c r="C78" s="15" t="s">
        <v>513</v>
      </c>
      <c r="D78" s="15"/>
      <c r="E78" s="15"/>
      <c r="F78" s="15"/>
      <c r="G78" s="15"/>
      <c r="H78" s="15"/>
      <c r="I78" s="690">
        <f>$S$61</f>
        <v>850</v>
      </c>
      <c r="J78" s="691"/>
      <c r="K78" s="691"/>
      <c r="L78" s="15" t="s">
        <v>514</v>
      </c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15"/>
    </row>
    <row r="79" spans="1:28" ht="13.5">
      <c r="A79" s="15"/>
      <c r="B79" s="64"/>
      <c r="C79" s="15"/>
      <c r="D79" s="15"/>
      <c r="E79" s="15"/>
      <c r="F79" s="15"/>
      <c r="G79" s="15"/>
      <c r="H79" s="15"/>
      <c r="I79" s="15"/>
      <c r="J79" s="36"/>
      <c r="K79" s="36"/>
      <c r="L79" s="36"/>
      <c r="M79" s="36"/>
      <c r="N79" s="36"/>
      <c r="O79" s="15"/>
      <c r="P79" s="27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372"/>
    </row>
    <row r="80" spans="1:28" ht="13.5">
      <c r="A80" s="244"/>
      <c r="B80" s="3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64"/>
      <c r="Y80" s="264"/>
      <c r="Z80" s="264"/>
      <c r="AA80" s="244"/>
      <c r="AB80" s="372"/>
    </row>
    <row r="81" spans="1:28" ht="13.5">
      <c r="A81" s="244"/>
      <c r="B81" s="815" t="s">
        <v>534</v>
      </c>
      <c r="C81" s="815" t="s">
        <v>502</v>
      </c>
      <c r="D81" s="541">
        <f>'朝顔'!$V$106</f>
        <v>4899</v>
      </c>
      <c r="E81" s="541"/>
      <c r="F81" s="582"/>
      <c r="G81" s="815" t="s">
        <v>501</v>
      </c>
      <c r="H81" s="817">
        <f>$S$61/1000</f>
        <v>0.85</v>
      </c>
      <c r="I81" s="817"/>
      <c r="J81" s="815" t="s">
        <v>502</v>
      </c>
      <c r="K81" s="541">
        <f>$D$81*$H$81/$H$82</f>
        <v>463</v>
      </c>
      <c r="L81" s="541"/>
      <c r="M81" s="807" t="s">
        <v>503</v>
      </c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64"/>
      <c r="Z81" s="264"/>
      <c r="AA81" s="264"/>
      <c r="AB81" s="372"/>
    </row>
    <row r="82" spans="1:28" ht="13.5">
      <c r="A82" s="244"/>
      <c r="B82" s="814"/>
      <c r="C82" s="814"/>
      <c r="D82" s="541"/>
      <c r="E82" s="541"/>
      <c r="F82" s="582"/>
      <c r="G82" s="815"/>
      <c r="H82" s="818">
        <f>'朝顔'!$J$96</f>
        <v>9</v>
      </c>
      <c r="I82" s="818"/>
      <c r="J82" s="815"/>
      <c r="K82" s="541"/>
      <c r="L82" s="541"/>
      <c r="M82" s="807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372"/>
    </row>
    <row r="83" spans="1:28" ht="13.5">
      <c r="A83" s="244"/>
      <c r="B83" s="361"/>
      <c r="C83" s="358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372"/>
    </row>
    <row r="84" spans="1:28" ht="13.5">
      <c r="A84" s="244"/>
      <c r="B84" s="815" t="s">
        <v>535</v>
      </c>
      <c r="C84" s="815" t="s">
        <v>502</v>
      </c>
      <c r="D84" s="815" t="s">
        <v>536</v>
      </c>
      <c r="E84" s="755"/>
      <c r="F84" s="613">
        <f>$U$55</f>
        <v>1100</v>
      </c>
      <c r="G84" s="613"/>
      <c r="H84" s="815" t="s">
        <v>502</v>
      </c>
      <c r="I84" s="833">
        <f>ATAN($F$84/$F$85)</f>
        <v>0.942</v>
      </c>
      <c r="J84" s="833"/>
      <c r="K84" s="833"/>
      <c r="L84" s="807" t="s">
        <v>537</v>
      </c>
      <c r="M84" s="807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64"/>
      <c r="Z84" s="244"/>
      <c r="AA84" s="242"/>
      <c r="AB84" s="372"/>
    </row>
    <row r="85" spans="1:28" ht="13.5">
      <c r="A85" s="244"/>
      <c r="B85" s="814"/>
      <c r="C85" s="814"/>
      <c r="D85" s="755"/>
      <c r="E85" s="755"/>
      <c r="F85" s="834">
        <f>$L$66</f>
        <v>800</v>
      </c>
      <c r="G85" s="818"/>
      <c r="H85" s="815"/>
      <c r="I85" s="833"/>
      <c r="J85" s="833"/>
      <c r="K85" s="833"/>
      <c r="L85" s="807"/>
      <c r="M85" s="807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2"/>
      <c r="AB85" s="152"/>
    </row>
    <row r="86" spans="1:28" ht="13.5">
      <c r="A86" s="244"/>
      <c r="B86" s="122"/>
      <c r="C86" s="122"/>
      <c r="D86" s="321"/>
      <c r="E86" s="321"/>
      <c r="F86" s="16"/>
      <c r="G86" s="362"/>
      <c r="H86" s="353"/>
      <c r="I86" s="363"/>
      <c r="J86" s="363"/>
      <c r="K86" s="363"/>
      <c r="L86" s="360"/>
      <c r="M86" s="360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2"/>
      <c r="AB86" s="152"/>
    </row>
    <row r="87" spans="1:28" ht="16.5">
      <c r="A87" s="244"/>
      <c r="B87" s="321" t="s">
        <v>538</v>
      </c>
      <c r="C87" s="321" t="s">
        <v>502</v>
      </c>
      <c r="D87" s="162" t="s">
        <v>539</v>
      </c>
      <c r="E87" s="321"/>
      <c r="F87" s="16"/>
      <c r="G87" s="742">
        <f>'朝顔'!$T$79</f>
        <v>298</v>
      </c>
      <c r="H87" s="825"/>
      <c r="I87" s="363" t="s">
        <v>501</v>
      </c>
      <c r="J87" s="629">
        <f>$S$61/1000</f>
        <v>0.9</v>
      </c>
      <c r="K87" s="832"/>
      <c r="L87" s="353" t="s">
        <v>502</v>
      </c>
      <c r="M87" s="742">
        <f>$G$87*$J$87</f>
        <v>268</v>
      </c>
      <c r="N87" s="825"/>
      <c r="O87" s="360" t="s">
        <v>540</v>
      </c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2"/>
      <c r="AA87" s="242"/>
      <c r="AB87" s="152"/>
    </row>
    <row r="88" spans="1:28" ht="13.5">
      <c r="A88" s="244"/>
      <c r="B88" s="321"/>
      <c r="C88" s="122"/>
      <c r="D88" s="162"/>
      <c r="E88" s="321"/>
      <c r="F88" s="16"/>
      <c r="G88" s="244"/>
      <c r="H88" s="172"/>
      <c r="I88" s="364"/>
      <c r="J88" s="363"/>
      <c r="K88" s="160"/>
      <c r="L88" s="365"/>
      <c r="M88" s="353"/>
      <c r="N88" s="172"/>
      <c r="O88" s="364"/>
      <c r="P88" s="360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2"/>
      <c r="AB88" s="3"/>
    </row>
    <row r="89" spans="1:28" ht="16.5">
      <c r="A89" s="244"/>
      <c r="B89" s="321" t="s">
        <v>541</v>
      </c>
      <c r="C89" s="321" t="s">
        <v>502</v>
      </c>
      <c r="D89" s="162" t="s">
        <v>661</v>
      </c>
      <c r="E89" s="321"/>
      <c r="F89" s="16"/>
      <c r="G89" s="742">
        <f>$M$87</f>
        <v>268</v>
      </c>
      <c r="H89" s="825"/>
      <c r="I89" s="363" t="s">
        <v>501</v>
      </c>
      <c r="J89" s="751">
        <f>$G$55/1000</f>
        <v>1.1</v>
      </c>
      <c r="K89" s="812"/>
      <c r="L89" s="353" t="s">
        <v>502</v>
      </c>
      <c r="M89" s="541">
        <f>$G$89*$J$89</f>
        <v>295</v>
      </c>
      <c r="N89" s="808"/>
      <c r="O89" s="360" t="s">
        <v>503</v>
      </c>
      <c r="P89" s="244"/>
      <c r="Q89" s="244"/>
      <c r="R89" s="362"/>
      <c r="S89" s="244"/>
      <c r="T89" s="244"/>
      <c r="U89" s="244"/>
      <c r="V89" s="244"/>
      <c r="W89" s="244"/>
      <c r="X89" s="244"/>
      <c r="Y89" s="244"/>
      <c r="Z89" s="244"/>
      <c r="AA89" s="244"/>
      <c r="AB89" s="3"/>
    </row>
    <row r="90" spans="1:27" ht="13.5">
      <c r="A90" s="244"/>
      <c r="B90" s="321"/>
      <c r="C90" s="122"/>
      <c r="D90" s="162"/>
      <c r="E90" s="321"/>
      <c r="F90" s="16"/>
      <c r="G90" s="362"/>
      <c r="H90" s="172"/>
      <c r="I90" s="364"/>
      <c r="J90" s="363"/>
      <c r="K90" s="300"/>
      <c r="L90" s="366"/>
      <c r="M90" s="353"/>
      <c r="N90" s="172"/>
      <c r="O90" s="364"/>
      <c r="P90" s="360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2"/>
    </row>
    <row r="91" spans="1:27" ht="17.25">
      <c r="A91" s="244"/>
      <c r="B91" s="755" t="s">
        <v>543</v>
      </c>
      <c r="C91" s="815" t="s">
        <v>502</v>
      </c>
      <c r="D91" s="755" t="s">
        <v>544</v>
      </c>
      <c r="E91" s="755"/>
      <c r="F91" s="432" t="s">
        <v>662</v>
      </c>
      <c r="G91" s="605" t="s">
        <v>160</v>
      </c>
      <c r="H91" s="813">
        <f>$G$59/1000</f>
        <v>0.9</v>
      </c>
      <c r="I91" s="814"/>
      <c r="J91" s="755" t="s">
        <v>542</v>
      </c>
      <c r="K91" s="810">
        <f>$G$55/1000</f>
        <v>1.1</v>
      </c>
      <c r="L91" s="810"/>
      <c r="M91" s="605" t="s">
        <v>160</v>
      </c>
      <c r="N91" s="813">
        <f>$H$91+$K$91/2</f>
        <v>1.45</v>
      </c>
      <c r="O91" s="814"/>
      <c r="P91" s="807" t="s">
        <v>663</v>
      </c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2"/>
    </row>
    <row r="92" spans="1:27" ht="13.5">
      <c r="A92" s="244"/>
      <c r="B92" s="755"/>
      <c r="C92" s="814"/>
      <c r="D92" s="755"/>
      <c r="E92" s="755"/>
      <c r="F92" s="120">
        <v>2</v>
      </c>
      <c r="G92" s="814"/>
      <c r="H92" s="814"/>
      <c r="I92" s="814"/>
      <c r="J92" s="755"/>
      <c r="K92" s="811">
        <v>2</v>
      </c>
      <c r="L92" s="811"/>
      <c r="M92" s="814"/>
      <c r="N92" s="814"/>
      <c r="O92" s="814"/>
      <c r="P92" s="809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2"/>
    </row>
    <row r="93" spans="1:27" ht="13.5">
      <c r="A93" s="244"/>
      <c r="B93" s="321"/>
      <c r="C93" s="321"/>
      <c r="D93" s="321"/>
      <c r="E93" s="321"/>
      <c r="F93" s="16"/>
      <c r="G93" s="362"/>
      <c r="H93" s="353"/>
      <c r="I93" s="363"/>
      <c r="J93" s="363"/>
      <c r="K93" s="363"/>
      <c r="L93" s="360"/>
      <c r="M93" s="360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2"/>
    </row>
    <row r="94" spans="1:27" ht="13.5">
      <c r="A94" s="244"/>
      <c r="B94" s="755" t="s">
        <v>0</v>
      </c>
      <c r="C94" s="815" t="s">
        <v>502</v>
      </c>
      <c r="D94" s="614" t="s">
        <v>677</v>
      </c>
      <c r="E94" s="614"/>
      <c r="F94" s="614"/>
      <c r="G94" s="614"/>
      <c r="H94" s="815" t="s">
        <v>502</v>
      </c>
      <c r="I94" s="829">
        <f>$M$89</f>
        <v>295</v>
      </c>
      <c r="J94" s="829"/>
      <c r="K94" s="368" t="s">
        <v>501</v>
      </c>
      <c r="L94" s="830">
        <f>$N$91</f>
        <v>1.45</v>
      </c>
      <c r="M94" s="830"/>
      <c r="N94" s="368"/>
      <c r="O94" s="468"/>
      <c r="P94" s="244"/>
      <c r="Q94" s="244"/>
      <c r="R94" s="244"/>
      <c r="S94" s="244"/>
      <c r="T94" s="242"/>
      <c r="U94" s="242"/>
      <c r="V94" s="242"/>
      <c r="W94" s="244"/>
      <c r="X94" s="244"/>
      <c r="Y94" s="242"/>
      <c r="Z94" s="242"/>
      <c r="AA94" s="242"/>
    </row>
    <row r="95" spans="1:27" ht="16.5">
      <c r="A95" s="244"/>
      <c r="B95" s="755"/>
      <c r="C95" s="814"/>
      <c r="D95" s="828" t="s">
        <v>664</v>
      </c>
      <c r="E95" s="828"/>
      <c r="F95" s="828"/>
      <c r="G95" s="828"/>
      <c r="H95" s="815"/>
      <c r="I95" s="831">
        <f>COS($I$84)</f>
        <v>0.58817</v>
      </c>
      <c r="J95" s="831"/>
      <c r="K95" s="831"/>
      <c r="L95" s="367" t="s">
        <v>501</v>
      </c>
      <c r="M95" s="824">
        <f>$G$59/1000</f>
        <v>0.9</v>
      </c>
      <c r="N95" s="824"/>
      <c r="O95" s="242"/>
      <c r="P95" s="244"/>
      <c r="Q95" s="244"/>
      <c r="R95" s="244"/>
      <c r="S95" s="244"/>
      <c r="T95" s="242"/>
      <c r="U95" s="244"/>
      <c r="V95" s="244"/>
      <c r="W95" s="242"/>
      <c r="X95" s="242"/>
      <c r="Y95" s="242"/>
      <c r="Z95" s="242"/>
      <c r="AA95" s="242"/>
    </row>
    <row r="96" spans="1:27" ht="13.5">
      <c r="A96" s="244"/>
      <c r="B96" s="321"/>
      <c r="C96" s="321"/>
      <c r="D96" s="321"/>
      <c r="E96" s="321"/>
      <c r="F96" s="16"/>
      <c r="G96" s="362"/>
      <c r="H96" s="353"/>
      <c r="I96" s="363"/>
      <c r="J96" s="363"/>
      <c r="K96" s="363"/>
      <c r="L96" s="360"/>
      <c r="M96" s="360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2"/>
    </row>
    <row r="97" spans="1:27" ht="18.75">
      <c r="A97" s="244"/>
      <c r="B97" s="321"/>
      <c r="C97" s="321" t="s">
        <v>502</v>
      </c>
      <c r="D97" s="542">
        <f>($I$94*$L$94+$O$94*$R$94)/($I$95*$M$95)</f>
        <v>808</v>
      </c>
      <c r="E97" s="542"/>
      <c r="F97" s="371" t="s">
        <v>503</v>
      </c>
      <c r="G97" s="19" t="str">
        <f>IF($D$97&lt;=$Q$97,"&lt;","&gt;")</f>
        <v>&lt;</v>
      </c>
      <c r="H97" s="815" t="s">
        <v>1</v>
      </c>
      <c r="I97" s="755"/>
      <c r="J97" s="755"/>
      <c r="K97" s="826">
        <v>1.3</v>
      </c>
      <c r="L97" s="827"/>
      <c r="M97" s="353" t="s">
        <v>501</v>
      </c>
      <c r="N97" s="591">
        <f>$L$75</f>
        <v>2360</v>
      </c>
      <c r="O97" s="591"/>
      <c r="P97" s="321" t="s">
        <v>502</v>
      </c>
      <c r="Q97" s="591">
        <f>$K$97*$N$97</f>
        <v>3068</v>
      </c>
      <c r="R97" s="591"/>
      <c r="S97" s="244" t="s">
        <v>503</v>
      </c>
      <c r="T97" s="699">
        <f>IF($D$97&lt;=$Q$97,"","NG")</f>
      </c>
      <c r="U97" s="700"/>
      <c r="V97" s="700"/>
      <c r="W97" s="244"/>
      <c r="X97" s="244"/>
      <c r="Y97" s="244"/>
      <c r="Z97" s="244"/>
      <c r="AA97" s="242"/>
    </row>
    <row r="98" spans="1:27" ht="13.5">
      <c r="A98" s="244"/>
      <c r="B98" s="321"/>
      <c r="C98" s="321"/>
      <c r="D98" s="321"/>
      <c r="E98" s="321"/>
      <c r="F98" s="16"/>
      <c r="G98" s="362"/>
      <c r="H98" s="353"/>
      <c r="I98" s="363"/>
      <c r="J98" s="363"/>
      <c r="K98" s="363"/>
      <c r="L98" s="360"/>
      <c r="M98" s="360"/>
      <c r="N98" s="244"/>
      <c r="O98" s="244"/>
      <c r="P98" s="353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2"/>
    </row>
  </sheetData>
  <sheetProtection sheet="1" objects="1" scenarios="1"/>
  <mergeCells count="108">
    <mergeCell ref="S61:T61"/>
    <mergeCell ref="G89:H89"/>
    <mergeCell ref="U55:U57"/>
    <mergeCell ref="AC6:AC7"/>
    <mergeCell ref="G72:J72"/>
    <mergeCell ref="M72:N72"/>
    <mergeCell ref="AC49:AC50"/>
    <mergeCell ref="J73:K73"/>
    <mergeCell ref="L73:N73"/>
    <mergeCell ref="M81:M82"/>
    <mergeCell ref="L74:N74"/>
    <mergeCell ref="L75:N75"/>
    <mergeCell ref="J74:K74"/>
    <mergeCell ref="F85:G85"/>
    <mergeCell ref="I78:K78"/>
    <mergeCell ref="J81:J82"/>
    <mergeCell ref="K81:L82"/>
    <mergeCell ref="G87:H87"/>
    <mergeCell ref="H84:H85"/>
    <mergeCell ref="J87:K87"/>
    <mergeCell ref="I84:K85"/>
    <mergeCell ref="B81:B82"/>
    <mergeCell ref="C81:C82"/>
    <mergeCell ref="D81:F82"/>
    <mergeCell ref="H82:I82"/>
    <mergeCell ref="G81:G82"/>
    <mergeCell ref="H81:I81"/>
    <mergeCell ref="D97:E97"/>
    <mergeCell ref="H97:J97"/>
    <mergeCell ref="K97:L97"/>
    <mergeCell ref="D95:G95"/>
    <mergeCell ref="H94:H95"/>
    <mergeCell ref="I94:J94"/>
    <mergeCell ref="L94:M94"/>
    <mergeCell ref="I95:K95"/>
    <mergeCell ref="G55:G56"/>
    <mergeCell ref="T97:V97"/>
    <mergeCell ref="Q97:R97"/>
    <mergeCell ref="H91:I92"/>
    <mergeCell ref="J91:J92"/>
    <mergeCell ref="M95:N95"/>
    <mergeCell ref="N97:O97"/>
    <mergeCell ref="M87:N87"/>
    <mergeCell ref="M91:M92"/>
    <mergeCell ref="G91:G92"/>
    <mergeCell ref="H6:K6"/>
    <mergeCell ref="G15:H15"/>
    <mergeCell ref="N6:O6"/>
    <mergeCell ref="K7:L7"/>
    <mergeCell ref="M7:O7"/>
    <mergeCell ref="G61:G62"/>
    <mergeCell ref="J75:K75"/>
    <mergeCell ref="K8:L8"/>
    <mergeCell ref="M8:O8"/>
    <mergeCell ref="K9:L9"/>
    <mergeCell ref="K19:K20"/>
    <mergeCell ref="M9:O9"/>
    <mergeCell ref="L19:N20"/>
    <mergeCell ref="F19:G20"/>
    <mergeCell ref="G59:G60"/>
    <mergeCell ref="W22:Z23"/>
    <mergeCell ref="J22:J23"/>
    <mergeCell ref="K22:L23"/>
    <mergeCell ref="H22:I22"/>
    <mergeCell ref="H23:I23"/>
    <mergeCell ref="P22:P23"/>
    <mergeCell ref="M22:M23"/>
    <mergeCell ref="T22:U23"/>
    <mergeCell ref="V22:V23"/>
    <mergeCell ref="Q22:Q23"/>
    <mergeCell ref="R22:S23"/>
    <mergeCell ref="H19:J20"/>
    <mergeCell ref="Q19:R19"/>
    <mergeCell ref="Q20:R20"/>
    <mergeCell ref="S19:S20"/>
    <mergeCell ref="Y12:Y15"/>
    <mergeCell ref="U13:W14"/>
    <mergeCell ref="J14:L14"/>
    <mergeCell ref="W19:X20"/>
    <mergeCell ref="Y19:Y20"/>
    <mergeCell ref="V17:X17"/>
    <mergeCell ref="T19:U20"/>
    <mergeCell ref="V19:V20"/>
    <mergeCell ref="D22:E23"/>
    <mergeCell ref="F22:G23"/>
    <mergeCell ref="O19:P20"/>
    <mergeCell ref="N22:O23"/>
    <mergeCell ref="D19:E20"/>
    <mergeCell ref="N91:O92"/>
    <mergeCell ref="B94:B95"/>
    <mergeCell ref="C84:C85"/>
    <mergeCell ref="C91:C92"/>
    <mergeCell ref="C94:C95"/>
    <mergeCell ref="B84:B85"/>
    <mergeCell ref="B91:B92"/>
    <mergeCell ref="D91:E92"/>
    <mergeCell ref="D84:E85"/>
    <mergeCell ref="F84:G84"/>
    <mergeCell ref="L66:M66"/>
    <mergeCell ref="S62:T62"/>
    <mergeCell ref="G57:G58"/>
    <mergeCell ref="D94:G94"/>
    <mergeCell ref="L84:M85"/>
    <mergeCell ref="M89:N89"/>
    <mergeCell ref="P91:P92"/>
    <mergeCell ref="K91:L91"/>
    <mergeCell ref="K92:L92"/>
    <mergeCell ref="J89:K89"/>
  </mergeCells>
  <dataValidations count="2">
    <dataValidation type="list" allowBlank="1" showInputMessage="1" showErrorMessage="1" sqref="H6:K6">
      <formula1>$AC$8:$AC$9</formula1>
    </dataValidation>
    <dataValidation type="list" allowBlank="1" showInputMessage="1" showErrorMessage="1" sqref="G72:J72">
      <formula1>$AC$51:$AC$52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rowBreaks count="1" manualBreakCount="1">
    <brk id="48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2004-10-12T12:00:44Z</cp:lastPrinted>
  <dcterms:created xsi:type="dcterms:W3CDTF">1999-02-19T09:09:23Z</dcterms:created>
  <dcterms:modified xsi:type="dcterms:W3CDTF">2004-10-13T05:44:16Z</dcterms:modified>
  <cp:category/>
  <cp:version/>
  <cp:contentType/>
  <cp:contentStatus/>
</cp:coreProperties>
</file>